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61pkxysddqMLRKy/sTJoQE1YxmikO1scE8hUslW2ho8pIv7NbnKtcChTrpKFRpztorWwEkwg+BRy11ei0SWZUg==" workbookSaltValue="0PbRxpxx5QoJuFG0FiLR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Z14" i="17"/>
  <c r="K26" i="2"/>
  <c r="M23" i="2"/>
  <c r="F30" i="17"/>
  <c r="F26" i="17"/>
  <c r="F14" i="7"/>
  <c r="T14" i="20"/>
  <c r="BB26" i="13"/>
  <c r="BD9" i="8"/>
  <c r="AH14" i="16"/>
  <c r="AO14" i="21"/>
  <c r="AP14" i="16"/>
  <c r="F11" i="16"/>
  <c r="BL11" i="16" s="1"/>
  <c r="T23" i="17"/>
  <c r="T26" i="17" s="1"/>
  <c r="T30" i="17" s="1"/>
  <c r="U26" i="16"/>
  <c r="BG16" i="13"/>
  <c r="BF17" i="13"/>
  <c r="E32" i="20"/>
  <c r="M32" i="20"/>
  <c r="AI32" i="20"/>
  <c r="AM32" i="20"/>
  <c r="U10" i="11"/>
  <c r="I32" i="20"/>
  <c r="Q32" i="20"/>
  <c r="AE32" i="20"/>
  <c r="AZ32" i="20"/>
  <c r="W32" i="20"/>
  <c r="AJ32" i="20"/>
  <c r="G30" i="14"/>
  <c r="G23" i="14"/>
  <c r="U18" i="11"/>
  <c r="AX32" i="20"/>
  <c r="Y32" i="20"/>
  <c r="L32" i="20"/>
  <c r="AG32" i="20"/>
  <c r="H32" i="20"/>
  <c r="T32" i="21"/>
  <c r="F32" i="20"/>
  <c r="AF32" i="20"/>
  <c r="G26" i="14"/>
  <c r="S32" i="20"/>
  <c r="K32" i="20"/>
  <c r="AQ32" i="21"/>
  <c r="O17" i="11"/>
  <c r="J32" i="20"/>
  <c r="AK32" i="20"/>
  <c r="U12" i="11"/>
  <c r="AU32" i="20"/>
  <c r="G14" i="14"/>
  <c r="O18" i="11"/>
  <c r="R32" i="20"/>
  <c r="BF17" i="8" l="1"/>
  <c r="H28" i="2"/>
  <c r="S22" i="17"/>
  <c r="F16" i="11"/>
  <c r="AQ16" i="11" s="1"/>
  <c r="U13" i="16"/>
  <c r="V13" i="16" s="1"/>
  <c r="P13" i="14"/>
  <c r="R13" i="14" s="1"/>
  <c r="R13" i="17"/>
  <c r="R8" i="9"/>
  <c r="X12" i="17"/>
  <c r="V12" i="21"/>
  <c r="S18" i="17"/>
  <c r="R30" i="17"/>
  <c r="S28" i="17"/>
  <c r="U13" i="17"/>
  <c r="X10" i="21"/>
  <c r="X20" i="16"/>
  <c r="X22" i="16"/>
  <c r="BE17" i="13"/>
  <c r="I13" i="14"/>
  <c r="BF16" i="13"/>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BH9" i="16"/>
  <c r="V16" i="11"/>
  <c r="BF13" i="11"/>
  <c r="BG25" i="11"/>
  <c r="BH16" i="16"/>
  <c r="Q18" i="20"/>
  <c r="Q23" i="20" s="1"/>
  <c r="BF28" i="11"/>
  <c r="BF18" i="11"/>
  <c r="BG20" i="11"/>
  <c r="BG22" i="11"/>
  <c r="BK29" i="11"/>
  <c r="AZ19" i="11"/>
  <c r="BK11" i="11"/>
  <c r="AZ18" i="11"/>
  <c r="AP10" i="21"/>
  <c r="AP21" i="20"/>
  <c r="BH20" i="16"/>
  <c r="BJ11" i="11"/>
  <c r="BH22" i="16"/>
  <c r="R10" i="21"/>
  <c r="BJ20" i="11"/>
  <c r="BG16" i="11"/>
  <c r="BH13" i="11"/>
  <c r="BL13" i="11"/>
  <c r="Q13" i="11" s="1"/>
  <c r="BH18" i="11"/>
  <c r="BM16" i="11"/>
  <c r="AO28" i="17"/>
  <c r="BJ25" i="11"/>
  <c r="AZ16" i="11"/>
  <c r="AZ23" i="11" s="1"/>
  <c r="BU16" i="17"/>
  <c r="BW19" i="20"/>
  <c r="BU10" i="17"/>
  <c r="BU33" i="17" s="1"/>
  <c r="BW25" i="20"/>
  <c r="BU22" i="17"/>
  <c r="BU20" i="17"/>
  <c r="BW29" i="20"/>
  <c r="BW22" i="20"/>
  <c r="BV29" i="16"/>
  <c r="BW21" i="20"/>
  <c r="BV9" i="16"/>
  <c r="AZ17" i="11"/>
  <c r="T16" i="11"/>
  <c r="BG12" i="11"/>
  <c r="Q18" i="17"/>
  <c r="BI20" i="11"/>
  <c r="BH10" i="11"/>
  <c r="BI9" i="11"/>
  <c r="AQ10" i="21"/>
  <c r="BL28" i="11"/>
  <c r="AO29" i="17"/>
  <c r="BL10" i="11"/>
  <c r="S10" i="17"/>
  <c r="BH10" i="16"/>
  <c r="BI29" i="11"/>
  <c r="BH11" i="11"/>
  <c r="BG17" i="11"/>
  <c r="BM21" i="11"/>
  <c r="BM9" i="11"/>
  <c r="Q9" i="11" s="1"/>
  <c r="AO25" i="17"/>
  <c r="BH12" i="16"/>
  <c r="BJ17" i="11"/>
  <c r="BK22" i="11"/>
  <c r="BL17" i="11"/>
  <c r="BH22" i="11"/>
  <c r="L22" i="2"/>
  <c r="S16" i="17"/>
  <c r="S17" i="17"/>
  <c r="L12" i="2"/>
  <c r="X19" i="16"/>
  <c r="AP17" i="20"/>
  <c r="BJ22" i="11"/>
  <c r="BG10" i="11"/>
  <c r="V11" i="16"/>
  <c r="V25" i="11"/>
  <c r="BF10" i="11"/>
  <c r="BK21" i="11"/>
  <c r="BI25" i="11"/>
  <c r="V13" i="11"/>
  <c r="BI19" i="11"/>
  <c r="AP22" i="20"/>
  <c r="R25" i="14"/>
  <c r="BL25" i="11"/>
  <c r="Q25" i="11" s="1"/>
  <c r="AZ9" i="11"/>
  <c r="T16" i="16"/>
  <c r="T23" i="16" s="1"/>
  <c r="T31" i="16" s="1"/>
  <c r="BV19" i="16"/>
  <c r="BW18" i="20"/>
  <c r="BW12" i="20"/>
  <c r="BW16" i="20"/>
  <c r="BV10" i="16"/>
  <c r="V12" i="16"/>
  <c r="BF20" i="11"/>
  <c r="S16" i="16"/>
  <c r="S23" i="16" s="1"/>
  <c r="BL20" i="11"/>
  <c r="BL16" i="11"/>
  <c r="Q16" i="11" s="1"/>
  <c r="BH21" i="11"/>
  <c r="AZ25" i="11"/>
  <c r="AZ30" i="11" s="1"/>
  <c r="BK17" i="11"/>
  <c r="BM18" i="11"/>
  <c r="P18" i="11" s="1"/>
  <c r="BH17" i="11"/>
  <c r="AQ12" i="21"/>
  <c r="BH25" i="11"/>
  <c r="BI21" i="11"/>
  <c r="L10" i="2"/>
  <c r="X21" i="20"/>
  <c r="L16" i="2"/>
  <c r="L18" i="2"/>
  <c r="L20" i="2"/>
  <c r="U9" i="17"/>
  <c r="U31" i="17" s="1"/>
  <c r="V10" i="16"/>
  <c r="V9" i="16"/>
  <c r="X13" i="16"/>
  <c r="BL19" i="11"/>
  <c r="BJ18" i="11"/>
  <c r="BM17" i="11"/>
  <c r="BF21" i="11"/>
  <c r="BF17" i="11"/>
  <c r="Q17" i="11" s="1"/>
  <c r="BL12"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X16" i="16"/>
  <c r="X23" i="16" s="1"/>
  <c r="AA11" i="16"/>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E31" i="2"/>
  <c r="R14" i="21"/>
  <c r="R31" i="21" s="1"/>
  <c r="P9" i="11"/>
  <c r="BL23" i="11"/>
  <c r="P16" i="11"/>
  <c r="BF23" i="11"/>
  <c r="AA31" i="11"/>
  <c r="S31" i="16"/>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<sst xmlns="http://schemas.openxmlformats.org/spreadsheetml/2006/main" count="2682" uniqueCount="1193">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</sst>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zDvXh/kr3d99L5x1qtucAvxLjB1PVgh7rUZV+rk6IvMOOGRJjrdxSB3Uahco1/+dKDpglc6Y8ppVyuy9YPlKg==" saltValue="p++sUVsJglicgjB/oiww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2</v>
      </c>
      <c r="F10" s="240">
        <f>IF(ISNUMBER(Datos!K10),Datos!K10," - ")</f>
        <v>4</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30.101587301587301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403</v>
      </c>
      <c r="D17" s="239">
        <f>IF(ISNUMBER(IF(D_I="SI",Datos!I17,Datos!I17+Datos!AC17)),IF(D_I="SI",Datos!I17,Datos!I17+Datos!AC17)," - ")</f>
        <v>402</v>
      </c>
      <c r="E17" s="240">
        <f>IF(ISNUMBER(IF(D_I="SI",Datos!J17,Datos!J17+Datos!AD17)),IF(D_I="SI",Datos!J17,Datos!J17+Datos!AD17)," - ")</f>
        <v>486</v>
      </c>
      <c r="F17" s="240">
        <f>IF(ISNUMBER(IF(D_I="SI",Datos!K17,Datos!K17+Datos!AE17)),IF(D_I="SI",Datos!K17,Datos!K17+Datos!AE17)," - ")</f>
        <v>312</v>
      </c>
      <c r="G17" s="1390" t="str">
        <f>IF(Datos!E17&lt;&gt;"",Datos!E17,Datos!D17)</f>
        <v>04</v>
      </c>
      <c r="H17" s="241">
        <f>IF(ISNUMBER(IF(D_I="SI",Datos!L17,Datos!L17+Datos!AF17)),IF(D_I="SI",Datos!L17,Datos!L17+Datos!AF17)," - ")</f>
        <v>577</v>
      </c>
      <c r="I17" s="1400" t="str">
        <f>IF(ISNUMBER(Datos!AS17/Datos!BM17),Datos!AS17/Datos!BM17," - ")</f>
        <v xml:space="preserve"> - </v>
      </c>
      <c r="J17" s="1401">
        <f>IF(ISNUMBER(Datos!BY17/Datos!CN17),Datos!BY17/Datos!CN17," - ")</f>
        <v>0</v>
      </c>
      <c r="K17" s="244">
        <f t="shared" si="3"/>
        <v>0.4317617866004963</v>
      </c>
      <c r="L17" s="1402">
        <f>IF(ISNUMBER(NºAsuntos!I17/NºAsuntos!G17),(NºAsuntos!I17/NºAsuntos!G17)*11," - ")</f>
        <v>20.342948717948719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42</v>
      </c>
      <c r="F18" s="240">
        <f>IF(ISNUMBER(IF(D_I="SI",Datos!K18,Datos!K18+Datos!AE18)),IF(D_I="SI",Datos!K18,Datos!K18+Datos!AE18)," - ")</f>
        <v>36</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0.18181818181818182</v>
      </c>
      <c r="L18" s="1402">
        <f>IF(ISNUMBER(NºAsuntos!I18/NºAsuntos!G18),(NºAsuntos!I18/NºAsuntos!G18)*11," - ")</f>
        <v>11.916666666666666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436</v>
      </c>
      <c r="D23" s="1407">
        <f>SUBTOTAL(9,D16:D22)</f>
        <v>435</v>
      </c>
      <c r="E23" s="1408">
        <f>SUBTOTAL(9,E16:E22)</f>
        <v>528</v>
      </c>
      <c r="F23" s="1408">
        <f>SUBTOTAL(9,F16:F22)</f>
        <v>348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446</v>
      </c>
      <c r="D31" s="1435">
        <f>SUBTOTAL(9,D9:D30)</f>
        <v>445</v>
      </c>
      <c r="E31" s="1436">
        <f>SUBTOTAL(9,E9:E30)</f>
        <v>530</v>
      </c>
      <c r="F31" s="1436">
        <f>SUBTOTAL(9,F9:F30)</f>
        <v>352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u8d9jcuyv5d5psklbgvbAFBOvqcEFxVSU09mq36A53MyRWUpUXEK2+wzjSAy39IWEFRYh1MVkEpAc1JFI6mAg==" saltValue="dUJ7MlRlZOMcsBAKu64I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tbVursjl2Fi7f3JfUnIyH6+/I03KUxp/KD6tOimaxhxjUBgWfrwasLJgcuFJyI3n/siVDwkTBh93IzOMKr/dw==" saltValue="9J9qCGGvzCjp5aL1DHdP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2</v>
      </c>
      <c r="K10" s="194">
        <v>4</v>
      </c>
      <c r="L10" s="194">
        <v>8</v>
      </c>
      <c r="M10" s="194">
        <v>3</v>
      </c>
      <c r="N10" s="194">
        <v>0</v>
      </c>
      <c r="O10" s="194">
        <v>0</v>
      </c>
      <c r="P10" s="194">
        <v>1</v>
      </c>
      <c r="Q10" s="194">
        <v>0</v>
      </c>
      <c r="R10" s="194">
        <v>11</v>
      </c>
      <c r="S10" s="194">
        <v>6</v>
      </c>
      <c r="T10" s="194">
        <v>4</v>
      </c>
      <c r="U10" s="194">
        <v>4</v>
      </c>
      <c r="V10" s="194">
        <v>6</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4</v>
      </c>
      <c r="BA10" s="139">
        <f t="shared" si="0"/>
        <v>4</v>
      </c>
      <c r="BB10" s="139">
        <f t="shared" si="0"/>
        <v>6</v>
      </c>
      <c r="BC10" s="135">
        <f t="shared" si="0"/>
        <v>3</v>
      </c>
      <c r="BD10" s="136">
        <f>IF(ISNUMBER(BA10/AZ10),BA10/AZ10," - ")</f>
        <v>1</v>
      </c>
      <c r="BE10" s="137">
        <f>IF(ISNUMBER(BB10/BA10),BB10/BA10, " - ")</f>
        <v>1.5</v>
      </c>
      <c r="BF10" s="137">
        <f>IF(ISNUMBER(BC10/BA10),BC10/BA10, " - ")</f>
        <v>0.75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802</v>
      </c>
      <c r="J12" s="196">
        <v>323</v>
      </c>
      <c r="K12" s="196">
        <v>286</v>
      </c>
      <c r="L12" s="196">
        <v>839</v>
      </c>
      <c r="M12" s="196">
        <v>111</v>
      </c>
      <c r="N12" s="196">
        <v>84</v>
      </c>
      <c r="O12" s="194">
        <v>140</v>
      </c>
      <c r="P12" s="196">
        <v>77</v>
      </c>
      <c r="Q12" s="196">
        <v>36</v>
      </c>
      <c r="R12" s="196">
        <v>1373</v>
      </c>
      <c r="S12" s="196">
        <v>809</v>
      </c>
      <c r="T12" s="196">
        <v>288</v>
      </c>
      <c r="U12" s="196">
        <v>293</v>
      </c>
      <c r="V12" s="196">
        <v>804</v>
      </c>
      <c r="W12" s="196">
        <v>87</v>
      </c>
      <c r="X12" s="202">
        <v>94</v>
      </c>
      <c r="Y12" s="204">
        <v>23</v>
      </c>
      <c r="Z12" s="194">
        <v>29</v>
      </c>
      <c r="AA12" s="194">
        <v>29</v>
      </c>
      <c r="AB12" s="194">
        <v>23</v>
      </c>
      <c r="AC12" s="196">
        <v>0</v>
      </c>
      <c r="AD12" s="196">
        <v>0</v>
      </c>
      <c r="AE12" s="196">
        <v>0</v>
      </c>
      <c r="AF12" s="202">
        <v>0</v>
      </c>
      <c r="AG12" s="215">
        <v>20</v>
      </c>
      <c r="AH12" s="196">
        <v>20</v>
      </c>
      <c r="AI12" s="196">
        <v>27</v>
      </c>
      <c r="AJ12" s="216">
        <v>13</v>
      </c>
      <c r="AK12" s="195">
        <v>0</v>
      </c>
      <c r="AL12" s="196">
        <v>0</v>
      </c>
      <c r="AM12" s="196">
        <v>0</v>
      </c>
      <c r="AN12" s="202">
        <v>0</v>
      </c>
      <c r="AO12" s="283">
        <v>2</v>
      </c>
      <c r="AP12" s="168">
        <v>2</v>
      </c>
      <c r="AQ12" s="168">
        <v>2</v>
      </c>
      <c r="AR12" s="167">
        <v>2</v>
      </c>
      <c r="AS12" s="381" t="s">
        <v>1075</v>
      </c>
      <c r="AT12" s="216"/>
      <c r="AU12" s="215"/>
      <c r="AV12" s="216"/>
      <c r="AW12" s="215"/>
      <c r="AX12" s="216"/>
      <c r="AY12" s="136">
        <f t="shared" si="1"/>
        <v>829</v>
      </c>
      <c r="AZ12" s="137">
        <f t="shared" si="1"/>
        <v>308</v>
      </c>
      <c r="BA12" s="137">
        <f t="shared" si="1"/>
        <v>320</v>
      </c>
      <c r="BB12" s="137">
        <f t="shared" si="1"/>
        <v>817</v>
      </c>
      <c r="BC12" s="135">
        <f>IF(ISNUMBER(X12),X12," - ")</f>
        <v>94</v>
      </c>
      <c r="BD12" s="136">
        <f t="shared" si="2"/>
        <v>1.0389610389610389</v>
      </c>
      <c r="BE12" s="137">
        <f t="shared" si="3"/>
        <v>2.5531250000000001</v>
      </c>
      <c r="BF12" s="137">
        <f t="shared" si="4"/>
        <v>0.29375000000000001</v>
      </c>
      <c r="BG12" s="209">
        <f t="shared" si="5"/>
        <v>3.5531250000000001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812</v>
      </c>
      <c r="J14" s="197">
        <f t="shared" si="7"/>
        <v>325</v>
      </c>
      <c r="K14" s="197">
        <f t="shared" si="7"/>
        <v>290</v>
      </c>
      <c r="L14" s="197">
        <f t="shared" si="7"/>
        <v>847</v>
      </c>
      <c r="M14" s="197">
        <f t="shared" si="7"/>
        <v>114</v>
      </c>
      <c r="N14" s="197">
        <f t="shared" si="7"/>
        <v>84</v>
      </c>
      <c r="O14" s="197">
        <f t="shared" si="7"/>
        <v>140</v>
      </c>
      <c r="P14" s="197">
        <f t="shared" si="7"/>
        <v>78</v>
      </c>
      <c r="Q14" s="197">
        <f t="shared" si="7"/>
        <v>36</v>
      </c>
      <c r="R14" s="197">
        <f t="shared" si="7"/>
        <v>1384</v>
      </c>
      <c r="S14" s="197">
        <f t="shared" si="7"/>
        <v>815</v>
      </c>
      <c r="T14" s="197">
        <f t="shared" si="7"/>
        <v>292</v>
      </c>
      <c r="U14" s="197">
        <f t="shared" si="7"/>
        <v>297</v>
      </c>
      <c r="V14" s="197">
        <f t="shared" si="7"/>
        <v>810</v>
      </c>
      <c r="W14" s="197">
        <f t="shared" si="7"/>
        <v>90</v>
      </c>
      <c r="X14" s="197">
        <f t="shared" si="7"/>
        <v>94</v>
      </c>
      <c r="Y14" s="197">
        <f t="shared" si="7"/>
        <v>23</v>
      </c>
      <c r="Z14" s="197">
        <f t="shared" si="7"/>
        <v>29</v>
      </c>
      <c r="AA14" s="197">
        <f t="shared" si="7"/>
        <v>29</v>
      </c>
      <c r="AB14" s="197">
        <f t="shared" si="7"/>
        <v>23</v>
      </c>
      <c r="AC14" s="197">
        <f t="shared" si="7"/>
        <v>0</v>
      </c>
      <c r="AD14" s="197">
        <f t="shared" si="7"/>
        <v>0</v>
      </c>
      <c r="AE14" s="197">
        <f t="shared" si="7"/>
        <v>0</v>
      </c>
      <c r="AF14" s="197">
        <f>SUBTOTAL(9,AF9:AF13)</f>
        <v>0</v>
      </c>
      <c r="AG14" s="197">
        <f t="shared" ref="AG14:AT14" si="8">SUBTOTAL(9,AG8:AG13)</f>
        <v>20</v>
      </c>
      <c r="AH14" s="197">
        <f t="shared" si="8"/>
        <v>20</v>
      </c>
      <c r="AI14" s="197">
        <f t="shared" si="8"/>
        <v>27</v>
      </c>
      <c r="AJ14" s="197">
        <f t="shared" si="8"/>
        <v>13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835</v>
      </c>
      <c r="AZ14" s="197">
        <f>SUBTOTAL(9,AZ8:AZ13)</f>
        <v>312</v>
      </c>
      <c r="BA14" s="197">
        <f>SUBTOTAL(9,BA8:BA13)</f>
        <v>324</v>
      </c>
      <c r="BB14" s="197">
        <f>SUBTOTAL(9,BB8:BB13)</f>
        <v>823</v>
      </c>
      <c r="BC14" s="197">
        <f>SUBTOTAL(9,BC8:BC13)</f>
        <v>97</v>
      </c>
      <c r="BD14" s="219">
        <f>IF(ISNUMBER(BA14/AZ14),BA14/AZ14," - ")</f>
        <v>1.0384615384615385</v>
      </c>
      <c r="BE14" s="220">
        <f>IF(ISNUMBER(BB14/BA14),BB14/BA14, " - ")</f>
        <v>2.5401234567901234</v>
      </c>
      <c r="BF14" s="220">
        <f>IF(ISNUMBER(BC14/BA14),BC14/BA14, " - ")</f>
        <v>0.29938271604938271</v>
      </c>
      <c r="BG14" s="221">
        <f>IF(ISNUMBER((AY14+AZ14)/BA14),(AY14+AZ14)/BA14," - ")</f>
        <v>3.5401234567901234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402</v>
      </c>
      <c r="J17" s="196">
        <v>486</v>
      </c>
      <c r="K17" s="196">
        <v>312</v>
      </c>
      <c r="L17" s="196">
        <v>577</v>
      </c>
      <c r="M17" s="196">
        <v>53</v>
      </c>
      <c r="N17" s="196">
        <v>166</v>
      </c>
      <c r="O17" s="194">
        <v>5</v>
      </c>
      <c r="P17" s="196">
        <v>14</v>
      </c>
      <c r="Q17" s="196">
        <v>17</v>
      </c>
      <c r="R17" s="196">
        <v>64</v>
      </c>
      <c r="S17" s="196">
        <v>513</v>
      </c>
      <c r="T17" s="196">
        <v>358</v>
      </c>
      <c r="U17" s="196">
        <v>387</v>
      </c>
      <c r="V17" s="196">
        <v>488</v>
      </c>
      <c r="W17" s="196">
        <v>52</v>
      </c>
      <c r="X17" s="202">
        <v>217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513</v>
      </c>
      <c r="AZ17" s="137">
        <f t="shared" si="10"/>
        <v>358</v>
      </c>
      <c r="BA17" s="137">
        <f t="shared" si="10"/>
        <v>387</v>
      </c>
      <c r="BB17" s="137">
        <f t="shared" si="10"/>
        <v>488</v>
      </c>
      <c r="BC17" s="135">
        <f>IF(ISNUMBER(W17),W17," - ")</f>
        <v>52</v>
      </c>
      <c r="BD17" s="136">
        <f t="shared" ref="BD17:BD22" si="12">IF(ISNUMBER(BA17/AZ17),BA17/AZ17," - ")</f>
        <v>1.0810055865921788</v>
      </c>
      <c r="BE17" s="137">
        <f t="shared" ref="BE17:BE22" si="13">IF(ISNUMBER(BB17/BA17),BB17/BA17, " - ")</f>
        <v>1.2609819121447028</v>
      </c>
      <c r="BF17" s="137">
        <f t="shared" ref="BF17:BF22" si="14">IF(ISNUMBER(BC17/BA17),BC17/BA17, " - ")</f>
        <v>0.13436692506459949</v>
      </c>
      <c r="BG17" s="209">
        <f t="shared" si="11"/>
        <v>2.2506459948320412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42</v>
      </c>
      <c r="K18" s="196">
        <v>36</v>
      </c>
      <c r="L18" s="196">
        <v>39</v>
      </c>
      <c r="M18" s="196">
        <v>11</v>
      </c>
      <c r="N18" s="196">
        <v>10</v>
      </c>
      <c r="O18" s="196">
        <v>0</v>
      </c>
      <c r="P18" s="196">
        <v>0</v>
      </c>
      <c r="Q18" s="196">
        <v>0</v>
      </c>
      <c r="R18" s="196">
        <v>1</v>
      </c>
      <c r="S18" s="196">
        <v>28</v>
      </c>
      <c r="T18" s="196">
        <v>46</v>
      </c>
      <c r="U18" s="196">
        <v>49</v>
      </c>
      <c r="V18" s="196">
        <v>26</v>
      </c>
      <c r="W18" s="196">
        <v>7</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46</v>
      </c>
      <c r="BA18" s="139">
        <f t="shared" si="15"/>
        <v>49</v>
      </c>
      <c r="BB18" s="139">
        <f t="shared" si="15"/>
        <v>26</v>
      </c>
      <c r="BC18" s="135">
        <f>IF(ISNUMBER(W18),W18," - ")</f>
        <v>7</v>
      </c>
      <c r="BD18" s="136">
        <f>IF(ISNUMBER(BA18/AZ18),BA18/AZ18," - ")</f>
        <v>1.0652173913043479</v>
      </c>
      <c r="BE18" s="137">
        <f>IF(ISNUMBER(BB18/BA18),BB18/BA18, " - ")</f>
        <v>0.53061224489795922</v>
      </c>
      <c r="BF18" s="137">
        <f>IF(ISNUMBER(BC18/BA18),BC18/BA18, " - ")</f>
        <v>0.14285714285714285</v>
      </c>
      <c r="BG18" s="209">
        <f>IF(ISNUMBER((AY18+AZ18)/BA18),(AY18+AZ18)/BA18," - ")</f>
        <v>1.510204081632653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435</v>
      </c>
      <c r="J23" s="197">
        <f t="shared" si="21"/>
        <v>528</v>
      </c>
      <c r="K23" s="197">
        <f t="shared" si="21"/>
        <v>348</v>
      </c>
      <c r="L23" s="197">
        <f t="shared" si="21"/>
        <v>616</v>
      </c>
      <c r="M23" s="197">
        <f t="shared" si="21"/>
        <v>64</v>
      </c>
      <c r="N23" s="197">
        <f t="shared" si="21"/>
        <v>176</v>
      </c>
      <c r="O23" s="197">
        <f t="shared" si="21"/>
        <v>5</v>
      </c>
      <c r="P23" s="197">
        <f t="shared" si="21"/>
        <v>14</v>
      </c>
      <c r="Q23" s="197">
        <f t="shared" si="21"/>
        <v>17</v>
      </c>
      <c r="R23" s="197">
        <f t="shared" si="21"/>
        <v>65</v>
      </c>
      <c r="S23" s="197">
        <f t="shared" si="21"/>
        <v>541</v>
      </c>
      <c r="T23" s="197">
        <f t="shared" si="21"/>
        <v>404</v>
      </c>
      <c r="U23" s="197">
        <f t="shared" si="21"/>
        <v>436</v>
      </c>
      <c r="V23" s="197">
        <f t="shared" si="21"/>
        <v>514</v>
      </c>
      <c r="W23" s="197">
        <f t="shared" si="21"/>
        <v>59</v>
      </c>
      <c r="X23" s="197">
        <f t="shared" si="21"/>
        <v>245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541</v>
      </c>
      <c r="AZ23" s="197">
        <f>SUBTOTAL(9,AZ15:AZ22)</f>
        <v>404</v>
      </c>
      <c r="BA23" s="197">
        <f>SUBTOTAL(9,BA15:BA22)</f>
        <v>436</v>
      </c>
      <c r="BB23" s="197">
        <f>SUBTOTAL(9,BB15:BB22)</f>
        <v>514</v>
      </c>
      <c r="BC23" s="197">
        <f>SUBTOTAL(9,BC15:BC22)</f>
        <v>59</v>
      </c>
      <c r="BD23" s="219">
        <f>IF(ISNUMBER(BA23/AZ23),BA23/AZ23," - ")</f>
        <v>1.0792079207920793</v>
      </c>
      <c r="BE23" s="220">
        <f>IF(ISNUMBER(BB23/BA23),BB23/BA23, " - ")</f>
        <v>1.1788990825688073</v>
      </c>
      <c r="BF23" s="220">
        <f>IF(ISNUMBER(BC23/BA23),BC23/BA23, " - ")</f>
        <v>0.13532110091743119</v>
      </c>
      <c r="BG23" s="221">
        <f>IF(ISNUMBER((AY23+AZ23)/BA23),(AY23+AZ23)/BA23," - ")</f>
        <v>2.1674311926605503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1247</v>
      </c>
      <c r="J31" s="144">
        <f t="shared" si="36"/>
        <v>853</v>
      </c>
      <c r="K31" s="144">
        <f t="shared" si="36"/>
        <v>638</v>
      </c>
      <c r="L31" s="144">
        <f t="shared" si="36"/>
        <v>1463</v>
      </c>
      <c r="M31" s="144">
        <f t="shared" si="36"/>
        <v>178</v>
      </c>
      <c r="N31" s="144">
        <f t="shared" si="36"/>
        <v>260</v>
      </c>
      <c r="O31" s="144">
        <f t="shared" si="36"/>
        <v>145</v>
      </c>
      <c r="P31" s="144">
        <f t="shared" si="36"/>
        <v>92</v>
      </c>
      <c r="Q31" s="144">
        <f t="shared" si="36"/>
        <v>53</v>
      </c>
      <c r="R31" s="144">
        <f t="shared" si="36"/>
        <v>1449</v>
      </c>
      <c r="S31" s="144">
        <f t="shared" si="36"/>
        <v>1356</v>
      </c>
      <c r="T31" s="144">
        <f t="shared" si="36"/>
        <v>696</v>
      </c>
      <c r="U31" s="144">
        <f t="shared" si="36"/>
        <v>733</v>
      </c>
      <c r="V31" s="144">
        <f t="shared" si="36"/>
        <v>1324</v>
      </c>
      <c r="W31" s="144">
        <f t="shared" si="36"/>
        <v>149</v>
      </c>
      <c r="X31" s="144">
        <f t="shared" si="36"/>
        <v>339</v>
      </c>
      <c r="Y31" s="144">
        <f t="shared" si="36"/>
        <v>23</v>
      </c>
      <c r="Z31" s="144">
        <f t="shared" si="36"/>
        <v>29</v>
      </c>
      <c r="AA31" s="144">
        <f t="shared" si="36"/>
        <v>29</v>
      </c>
      <c r="AB31" s="144">
        <f t="shared" si="36"/>
        <v>23</v>
      </c>
      <c r="AC31" s="144">
        <f t="shared" si="36"/>
        <v>0</v>
      </c>
      <c r="AD31" s="144">
        <f t="shared" si="36"/>
        <v>0</v>
      </c>
      <c r="AE31" s="144">
        <f t="shared" si="36"/>
        <v>0</v>
      </c>
      <c r="AF31" s="144">
        <f t="shared" si="36"/>
        <v>0</v>
      </c>
      <c r="AG31" s="144">
        <f t="shared" si="36"/>
        <v>20</v>
      </c>
      <c r="AH31" s="144">
        <f t="shared" si="36"/>
        <v>20</v>
      </c>
      <c r="AI31" s="144">
        <f t="shared" si="36"/>
        <v>27</v>
      </c>
      <c r="AJ31" s="144">
        <f t="shared" si="36"/>
        <v>13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1376</v>
      </c>
      <c r="AZ31" s="144">
        <f>SUBTOTAL(9,AZ9:AZ30)</f>
        <v>716</v>
      </c>
      <c r="BA31" s="144">
        <f>SUBTOTAL(9,BA9:BA30)</f>
        <v>760</v>
      </c>
      <c r="BB31" s="144">
        <f>SUBTOTAL(9,BB9:BB30)</f>
        <v>1337</v>
      </c>
      <c r="BC31" s="145">
        <f>SUBTOTAL(9,BC9:BC30)</f>
        <v>156</v>
      </c>
      <c r="BD31" s="227">
        <f>IF(ISNUMBER(BA31/AZ31),BA31/AZ31," - ")</f>
        <v>1.0614525139664805</v>
      </c>
      <c r="BE31" s="224">
        <f>IF(ISNUMBER(BB31/BA31),BB31/BA31, " - ")</f>
        <v>1.7592105263157896</v>
      </c>
      <c r="BF31" s="224">
        <f>IF(ISNUMBER(BC31/BA31),BC31/BA31, " - ")</f>
        <v>0.20526315789473684</v>
      </c>
      <c r="BG31" s="145">
        <f>IF(ISNUMBER((AY31+AZ31)/BA31),(AY31+AZ31)/BA31," - ")</f>
        <v>2.7526315789473683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TzSWxJ3ZVmdb8UcQdKhaGiRhAXK3oF+z3O0g1IpqcT1AEVrFueCl7jBeqhoM6L+FhTWcGN9PWfk9GnegbLKw==" saltValue="yPJBDXG98/BiNM6vAWw2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dZj0Sh5aFZVV74nWgLwsDaK3bTPkdNd+e9+pyS6xCcA0UvXJs2oGtpVkXLCdeRjygctQAmkiIitCKgIPsDagg==" saltValue="RAEjj4bqJB/EiUTNjbWE4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MANZANARES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8</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1373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111</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0.89488636363636365</v>
      </c>
      <c r="BH12" s="764">
        <f>IF(ISNUMBER(((IF(J_V="SI",Datos!L12/Datos!K12,(Datos!L12+Datos!AB12)/(Datos!K12+Datos!AA12)))*11)/factor_trimestre),((IF(J_V="SI",Datos!L12/Datos!K12,(Datos!L12+Datos!AB12)/(Datos!K12+Datos!AA12)))*11)/factor_trimestre," - ")</f>
        <v>8.2095238095238106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3.0780780780780781E-2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36</v>
      </c>
      <c r="AD14" s="1198">
        <f t="shared" si="2"/>
        <v>0</v>
      </c>
      <c r="AE14" s="1198">
        <f t="shared" si="2"/>
        <v>0</v>
      </c>
      <c r="AF14" s="1198">
        <f t="shared" si="2"/>
        <v>8</v>
      </c>
      <c r="AG14" s="1198">
        <f t="shared" si="2"/>
        <v>0</v>
      </c>
      <c r="AH14" s="1198">
        <f t="shared" si="2"/>
        <v>23</v>
      </c>
      <c r="AI14" s="1198">
        <f t="shared" si="2"/>
        <v>0</v>
      </c>
      <c r="AJ14" s="1198">
        <f t="shared" si="2"/>
        <v>0</v>
      </c>
      <c r="AK14" s="1198">
        <f t="shared" si="2"/>
        <v>0</v>
      </c>
      <c r="AL14" s="1198">
        <f t="shared" si="2"/>
        <v>0</v>
      </c>
      <c r="AM14" s="1198">
        <f t="shared" si="2"/>
        <v>1384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114</v>
      </c>
      <c r="BD14" s="1198">
        <f t="shared" si="2"/>
        <v>84</v>
      </c>
      <c r="BE14" s="1198">
        <f t="shared" si="2"/>
        <v>0</v>
      </c>
      <c r="BF14" s="1198">
        <f t="shared" si="2"/>
        <v>0</v>
      </c>
      <c r="BG14" s="1198">
        <f>IF(ISNUMBER(Datos!K14/Datos!J14),Datos!K14/Datos!J14," - ")</f>
        <v>0.89230769230769236</v>
      </c>
      <c r="BH14" s="1202">
        <f>IF(ISNUMBER(((Datos!L14/Datos!K14)*11)/factor_trimestre),((Datos!L14/Datos!K14)*11)/factor_trimestre," - ")</f>
        <v>8.7620689655172423</v>
      </c>
      <c r="BI14" s="1198">
        <f>IF(ISNUMBER('Resol  Asuntos'!D14/NºAsuntos!G14),'Resol  Asuntos'!D14/NºAsuntos!G14," - ")</f>
        <v>0.35736677115987459</v>
      </c>
      <c r="BJ14" s="1198" t="str">
        <f>IF(ISNUMBER(Datos!CI14/Datos!CJ14),Datos!CI14/Datos!CJ14," - ")</f>
        <v xml:space="preserve"> - </v>
      </c>
      <c r="BK14" s="1198">
        <f>SUBTOTAL(9,BK8:BK13)</f>
        <v>0</v>
      </c>
      <c r="BL14" s="1198">
        <f>IF(ISNUMBER((I14-AB14+L14)/(F14)),(I14-AB14+L14)/(F14)," - ")</f>
        <v>-0.4</v>
      </c>
      <c r="BM14" s="1203">
        <f>SUBTOTAL(9,BM9:BM13)</f>
        <v>0.13078078078078079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403</v>
      </c>
      <c r="G17" s="743">
        <f>IF(ISNUMBER(IF(D_I="SI",Datos!I17,Datos!I17+Datos!AC17)),IF(D_I="SI",Datos!I17,Datos!I17+Datos!AC17)," - ")</f>
        <v>402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312</v>
      </c>
      <c r="AC17" s="240">
        <f>IF(ISNUMBER(Datos!Q17),Datos!Q17," - ")</f>
        <v>17</v>
      </c>
      <c r="AD17" s="374"/>
      <c r="AE17" s="562"/>
      <c r="AF17" s="741">
        <f>IF(ISNUMBER(IF(D_I="SI",Datos!L17,Datos!L17+Datos!AF17)),IF(D_I="SI",Datos!L17,Datos!L17+Datos!AF17)," - ")</f>
        <v>577</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166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0.64197530864197527</v>
      </c>
      <c r="BH17" s="764">
        <f>IF(ISNUMBER(((IF(D_I="SI",Datos!L17/Datos!K17,(Datos!L17+Datos!AF17)/(Datos!K17+Datos!AE17)))*11)/factor_trimestre),((IF(D_I="SI",Datos!L17/Datos!K17,(Datos!L17+Datos!AF17)/(Datos!K17+Datos!AE17)))*11)/factor_trimestre," - ")</f>
        <v>5.5480769230769234</v>
      </c>
      <c r="BI17" s="266">
        <f>IF(ISNUMBER('Resol  Asuntos'!D17/NºAsuntos!G17),'Resol  Asuntos'!D17/NºAsuntos!G17," - ")</f>
        <v>0.16987179487179488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v>
      </c>
      <c r="AC18" s="547">
        <f>IF(ISNUMBER(Datos!Q18),Datos!Q18," - ")</f>
        <v>0</v>
      </c>
      <c r="AD18" s="549"/>
      <c r="AE18" s="562"/>
      <c r="AF18" s="551">
        <f>IF(ISNUMBER(Datos!L18),Datos!L18,"-")</f>
        <v>39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3.25</v>
      </c>
      <c r="BI18" s="763">
        <f>IF(ISNUMBER('Resol  Asuntos'!D18/NºAsuntos!G18),'Resol  Asuntos'!D18/NºAsuntos!G18," - ")</f>
        <v>0.30555555555555558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403</v>
      </c>
      <c r="G23" s="1197">
        <f>SUBTOTAL(9,G16:G22)</f>
        <v>435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348</v>
      </c>
      <c r="AC23" s="1198">
        <f t="shared" si="5"/>
        <v>17</v>
      </c>
      <c r="AD23" s="1198">
        <f t="shared" si="5"/>
        <v>0</v>
      </c>
      <c r="AE23" s="1198">
        <f t="shared" si="5"/>
        <v>0</v>
      </c>
      <c r="AF23" s="1198">
        <f t="shared" si="5"/>
        <v>616</v>
      </c>
      <c r="AG23" s="1198">
        <f t="shared" si="5"/>
        <v>0</v>
      </c>
      <c r="AH23" s="1198">
        <f t="shared" si="5"/>
        <v>0</v>
      </c>
      <c r="AI23" s="1198">
        <f t="shared" si="5"/>
        <v>0</v>
      </c>
      <c r="AJ23" s="1198">
        <f t="shared" si="5"/>
        <v>0</v>
      </c>
      <c r="AK23" s="1198">
        <f t="shared" si="5"/>
        <v>0</v>
      </c>
      <c r="AL23" s="1198">
        <f t="shared" si="5"/>
        <v>0</v>
      </c>
      <c r="AM23" s="1198">
        <f t="shared" si="5"/>
        <v>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v>
      </c>
      <c r="BD23" s="1198">
        <f t="shared" si="5"/>
        <v>176</v>
      </c>
      <c r="BE23" s="1198">
        <f t="shared" si="5"/>
        <v>0</v>
      </c>
      <c r="BF23" s="1198">
        <f t="shared" si="5"/>
        <v>0</v>
      </c>
      <c r="BG23" s="1198">
        <f>IF(ISNUMBER(Datos!K23/Datos!J23),Datos!K23/Datos!J23," - ")</f>
        <v>0.65909090909090906</v>
      </c>
      <c r="BH23" s="1202">
        <f>IF(ISNUMBER(((Datos!L23/Datos!K23)*11)/factor_trimestre),((Datos!L23/Datos!K23)*11)/factor_trimestre," - ")</f>
        <v>5.3103448275862073</v>
      </c>
      <c r="BI23" s="1198">
        <f>SUBTOTAL(9,BI16:BI22)</f>
        <v>0.47542735042735046</v>
      </c>
      <c r="BJ23" s="1198">
        <f>SUBTOTAL(9,BJ16:BJ22)</f>
        <v>0</v>
      </c>
      <c r="BK23" s="1198">
        <f>SUBTOTAL(9,BK16:BK22)</f>
        <v>0</v>
      </c>
      <c r="BL23" s="1198">
        <f>IF(ISNUMBER((I23-AB23+L23)/(F23)),(I23-AB23+L23)/(F23)," - ")</f>
        <v>-0.8635235732009926</v>
      </c>
      <c r="BM23" s="1205">
        <f>IF(ISNUMBER((Datos!P23-Datos!Q23)/(Datos!R23-Datos!P23+Datos!Q23)),(Datos!P23-Datos!Q23)/(Datos!R23-Datos!P23+Datos!Q23)," - ")</f>
        <v>-4.4117647058823532E-2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413</v>
      </c>
      <c r="G31" s="1117">
        <f t="shared" si="18"/>
        <v>445</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92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352</v>
      </c>
      <c r="AC31" s="1118">
        <f t="shared" si="19"/>
        <v>53</v>
      </c>
      <c r="AD31" s="1118">
        <f t="shared" si="19"/>
        <v>0</v>
      </c>
      <c r="AE31" s="1118">
        <f t="shared" si="19"/>
        <v>0</v>
      </c>
      <c r="AF31" s="1125">
        <f t="shared" si="19"/>
        <v>624</v>
      </c>
      <c r="AG31" s="1125">
        <f t="shared" si="19"/>
        <v>0</v>
      </c>
      <c r="AH31" s="1125">
        <f t="shared" si="19"/>
        <v>23</v>
      </c>
      <c r="AI31" s="1125">
        <f t="shared" si="19"/>
        <v>0</v>
      </c>
      <c r="AJ31" s="1118">
        <f t="shared" si="19"/>
        <v>0</v>
      </c>
      <c r="AK31" s="1125">
        <f t="shared" si="19"/>
        <v>0</v>
      </c>
      <c r="AL31" s="1125">
        <f t="shared" si="19"/>
        <v>0</v>
      </c>
      <c r="AM31" s="1125">
        <f t="shared" si="19"/>
        <v>1449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178</v>
      </c>
      <c r="BD31" s="1117">
        <f t="shared" si="19"/>
        <v>260</v>
      </c>
      <c r="BE31" s="1117">
        <f t="shared" si="19"/>
        <v>0</v>
      </c>
      <c r="BF31" s="1127">
        <f t="shared" si="19"/>
        <v>0</v>
      </c>
      <c r="BG31" s="1223">
        <f>IF(ISNUMBER(Datos!K31/Datos!J31),Datos!K31/Datos!J31," - ")</f>
        <v>0.74794841735052753</v>
      </c>
      <c r="BH31" s="1223">
        <f>IF(ISNUMBER(((Datos!L31/Datos!K31)*11)/factor_trimestre),((Datos!L31/Datos!K31)*11)/factor_trimestre," - ")</f>
        <v>6.8793103448275872</v>
      </c>
      <c r="BI31" s="1103">
        <f>IF(ISNUMBER(Datos!J31/Datos!I31),Datos!J31/Datos!I31," - ")</f>
        <v>0.68404170008019249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-0.85230024213075062</v>
      </c>
      <c r="BM31" s="1188">
        <f>IF(ISNUMBER((Datos!P31-Datos!Q31+R31)/(Datos!R31-Datos!P31+Datos!Q31-R31)),(Datos!P31-Datos!Q31+R31)/(Datos!R31-Datos!P31+Datos!Q31-R31)," - ")</f>
        <v>2.7659574468085105E-2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205.57496605050594</v>
      </c>
      <c r="G33" s="674">
        <f>IF(ISNUMBER(STDEV(G8:G30)),STDEV(G8:G30),"-")</f>
        <v>199.5665541211992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157.57205456854456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48.565125641466516</v>
      </c>
      <c r="BD33" s="673"/>
      <c r="BE33" s="673">
        <f>IF(ISNUMBER(STDEV(BE8:BE30)),STDEV(BE8:BE30),"-")</f>
        <v>0</v>
      </c>
      <c r="BF33" s="678">
        <f>IF(ISNUMBER(STDEV(BF8:BF30)),STDEV(BF8:BF30),"-")</f>
        <v>0</v>
      </c>
      <c r="BG33" s="1052">
        <f>IF(ISNUMBER(STDEV(BG8:BG30)),STDEV(BG8:BG30),"-")</f>
        <v>0.50733786726731622</v>
      </c>
      <c r="BH33" s="1058">
        <f>IF(ISNUMBER(STDEV(BH8:BH30)),STDEV(BH8:BH30),"-")</f>
        <v>2.0277560962862422</v>
      </c>
      <c r="BI33" s="273">
        <f>IF(ISNUMBER(STDEV(BI8:BI30)),STDEV(BI8:BI30),"-")</f>
        <v>0.12662535808101855</v>
      </c>
      <c r="BJ33" s="244" t="str">
        <f>IF(ISNUMBER(BL33/BM33),BL33/BM33," - ")</f>
        <v xml:space="preserve"> - </v>
      </c>
      <c r="BK33" s="709"/>
      <c r="BL33" s="681">
        <f>IF(ISNUMBER(STDEV(BL8:BL30)),STDEV(BL8:BL30),"-")</f>
        <v>0.32776066185024094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zq5eVo1C78ciSVLoSVuvL5rN/tQkSd7enjkWuqLF24B0upcZBoCm67rSiinDYbQ1ZFdakR4rKpBD5yNoTFb1g==" saltValue="oOItt8COhRgehaBoICTh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MANZANARES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8</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v>
      </c>
      <c r="AA12" s="551" t="str">
        <f>IF(ISNUMBER(IF(J_V="SI",Datos!L12,Datos!L12+Datos!AB12)-IF(Monitorios="SI",Datos!CD12,0)),
                          IF(J_V="SI",Datos!L12,Datos!L12+Datos!AB12)-IF(Monitorios="SI",Datos!CD12,0),
                          " - ")</f>
        <v xml:space="preserve"> - </v>
      </c>
      <c r="AB12" s="549"/>
      <c r="AC12" s="549"/>
      <c r="AD12" s="563"/>
      <c r="AE12" s="563">
        <f>IF(ISNUMBER(Datos!R12),Datos!R12," - ")</f>
        <v>1373</v>
      </c>
      <c r="AF12" s="693" t="str">
        <f>IF(ISNUMBER(Datos!BV12),Datos!BV12," - ")</f>
        <v xml:space="preserve"> - </v>
      </c>
      <c r="AG12" s="552" t="str">
        <f>IF(ISNUMBER(Datos!DV12),Datos!DV12," - ")</f>
        <v xml:space="preserve"> - </v>
      </c>
      <c r="AH12" s="553"/>
      <c r="AI12" s="554"/>
      <c r="AJ12" s="552">
        <f>IF(ISNUMBER(Datos!M12),Datos!M12," - ")</f>
        <v>111</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8.2095238095238106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3.0780780780780781E-2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36</v>
      </c>
      <c r="AA14" s="1199">
        <f t="shared" si="3"/>
        <v>8</v>
      </c>
      <c r="AB14" s="1199">
        <f t="shared" si="3"/>
        <v>0</v>
      </c>
      <c r="AC14" s="1199">
        <f t="shared" si="3"/>
        <v>0</v>
      </c>
      <c r="AD14" s="1199">
        <f t="shared" si="3"/>
        <v>0</v>
      </c>
      <c r="AE14" s="1199">
        <f t="shared" si="3"/>
        <v>1384</v>
      </c>
      <c r="AF14" s="1211">
        <f t="shared" si="3"/>
        <v>0</v>
      </c>
      <c r="AG14" s="1211">
        <f t="shared" si="3"/>
        <v>0</v>
      </c>
      <c r="AH14" s="1211">
        <f t="shared" si="3"/>
        <v>0</v>
      </c>
      <c r="AI14" s="1211">
        <f t="shared" si="3"/>
        <v>0</v>
      </c>
      <c r="AJ14" s="1211">
        <f t="shared" si="3"/>
        <v>114</v>
      </c>
      <c r="AK14" s="1211">
        <f t="shared" si="3"/>
        <v>84</v>
      </c>
      <c r="AL14" s="1211">
        <f t="shared" si="3"/>
        <v>0</v>
      </c>
      <c r="AM14" s="1211">
        <f t="shared" si="3"/>
        <v>0</v>
      </c>
      <c r="AN14" s="1211">
        <f t="shared" si="3"/>
        <v>0</v>
      </c>
      <c r="AO14" s="1203">
        <f>IF(ISNUMBER(((NºAsuntos!I14/NºAsuntos!G14)*11)/factor_trimestre),((NºAsuntos!I14/NºAsuntos!G14)*11)/factor_trimestre," - ")</f>
        <v>8.1818181818181817</v>
      </c>
      <c r="AP14" s="1213" t="str">
        <f>IF(ISNUMBER(Datos!CI14/Datos!CJ14),Datos!CI14/Datos!CJ14," - ")</f>
        <v xml:space="preserve"> - </v>
      </c>
      <c r="AQ14" s="1236">
        <f t="shared" ref="AQ14:AV14" si="4">SUBTOTAL(9,AQ9:AQ13)</f>
        <v>0</v>
      </c>
      <c r="AR14" s="1236">
        <f t="shared" si="4"/>
        <v>0.13078078078078079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403</v>
      </c>
      <c r="G17" s="552">
        <f>IF(ISNUMBER(IF(D_I="SI",Datos!I17,Datos!I17+Datos!AC17)),IF(D_I="SI",Datos!I17,Datos!I17+Datos!AC17)," - ")</f>
        <v>402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312</v>
      </c>
      <c r="Z17" s="805">
        <f>IF(ISNUMBER(Datos!Q17),Datos!Q17," - ")</f>
        <v>17</v>
      </c>
      <c r="AA17" s="551">
        <f>IF(ISNUMBER(IF(D_I="SI",Datos!L17,Datos!L17+Datos!AF17)),IF(D_I="SI",Datos!L17,Datos!L17+Datos!AF17)," - ")</f>
        <v>577</v>
      </c>
      <c r="AB17" s="549"/>
      <c r="AC17" s="549"/>
      <c r="AD17" s="563"/>
      <c r="AE17" s="563">
        <f>IF(ISNUMBER(Datos!R17),Datos!R17," - ")</f>
        <v>64</v>
      </c>
      <c r="AF17" s="693" t="str">
        <f>IF(ISNUMBER(Datos!BV17),Datos!BV17," - ")</f>
        <v xml:space="preserve"> - </v>
      </c>
      <c r="AG17" s="552"/>
      <c r="AH17" s="553"/>
      <c r="AI17" s="554"/>
      <c r="AJ17" s="552">
        <f>IF(ISNUMBER(Datos!M17),Datos!M17," - ")</f>
        <v>53</v>
      </c>
      <c r="AK17" s="693">
        <f>IF(ISNUMBER(Datos!N17),Datos!N17," - ")</f>
        <v>166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5.5480769230769234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v>
      </c>
      <c r="Z18" s="805">
        <f>IF(ISNUMBER(Datos!Q18),Datos!Q18," - ")</f>
        <v>0</v>
      </c>
      <c r="AA18" s="551">
        <f>IF(ISNUMBER(Datos!L18),Datos!L18,"-")</f>
        <v>39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11</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403</v>
      </c>
      <c r="G23" s="1197">
        <f>SUBTOTAL(9,G16:G22)</f>
        <v>435</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348</v>
      </c>
      <c r="Z23" s="1240">
        <f t="shared" si="6"/>
        <v>17</v>
      </c>
      <c r="AA23" s="1240">
        <f t="shared" si="6"/>
        <v>616</v>
      </c>
      <c r="AB23" s="1240">
        <f t="shared" si="6"/>
        <v>0</v>
      </c>
      <c r="AC23" s="1240">
        <f t="shared" si="6"/>
        <v>0</v>
      </c>
      <c r="AD23" s="1240">
        <f t="shared" si="6"/>
        <v>0</v>
      </c>
      <c r="AE23" s="1240">
        <f t="shared" si="6"/>
        <v>65</v>
      </c>
      <c r="AF23" s="1240">
        <f t="shared" si="6"/>
        <v>0</v>
      </c>
      <c r="AG23" s="1240">
        <f t="shared" si="6"/>
        <v>0</v>
      </c>
      <c r="AH23" s="1240">
        <f t="shared" si="6"/>
        <v>0</v>
      </c>
      <c r="AI23" s="1240">
        <f t="shared" si="6"/>
        <v>0</v>
      </c>
      <c r="AJ23" s="1240">
        <f t="shared" si="6"/>
        <v>64</v>
      </c>
      <c r="AK23" s="1240">
        <f t="shared" si="6"/>
        <v>176</v>
      </c>
      <c r="AL23" s="1240">
        <f t="shared" si="6"/>
        <v>0</v>
      </c>
      <c r="AM23" s="1240">
        <f t="shared" si="6"/>
        <v>0</v>
      </c>
      <c r="AN23" s="1240">
        <f t="shared" si="6"/>
        <v>0</v>
      </c>
      <c r="AO23" s="1242">
        <f>IF(ISNUMBER(((NºAsuntos!I23/NºAsuntos!G23)*11)/factor_trimestre),((NºAsuntos!I23/NºAsuntos!G23)*11)/factor_trimestre," - ")</f>
        <v>5.3103448275862073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413</v>
      </c>
      <c r="G31" s="1117">
        <f t="shared" si="12"/>
        <v>445</v>
      </c>
      <c r="H31" s="1118">
        <f t="shared" si="12"/>
        <v>0</v>
      </c>
      <c r="I31" s="1117">
        <f t="shared" si="12"/>
        <v>0</v>
      </c>
      <c r="J31" s="1119">
        <f t="shared" si="12"/>
        <v>0</v>
      </c>
      <c r="K31" s="1117">
        <f t="shared" si="12"/>
        <v>0</v>
      </c>
      <c r="L31" s="1120">
        <f t="shared" si="12"/>
        <v>0</v>
      </c>
      <c r="M31" s="1117">
        <f t="shared" si="12"/>
        <v>0</v>
      </c>
      <c r="N31" s="1118">
        <f t="shared" si="12"/>
        <v>92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352</v>
      </c>
      <c r="Z31" s="1124">
        <f t="shared" si="13"/>
        <v>53</v>
      </c>
      <c r="AA31" s="1125">
        <f t="shared" si="13"/>
        <v>624</v>
      </c>
      <c r="AB31" s="1125">
        <f t="shared" si="13"/>
        <v>0</v>
      </c>
      <c r="AC31" s="1125">
        <f t="shared" si="13"/>
        <v>0</v>
      </c>
      <c r="AD31" s="1126">
        <f t="shared" si="13"/>
        <v>0</v>
      </c>
      <c r="AE31" s="1126">
        <f t="shared" si="13"/>
        <v>1449</v>
      </c>
      <c r="AF31" s="1127">
        <f t="shared" si="13"/>
        <v>0</v>
      </c>
      <c r="AG31" s="1128">
        <f t="shared" si="13"/>
        <v>0</v>
      </c>
      <c r="AH31" s="1129">
        <f t="shared" si="13"/>
        <v>0</v>
      </c>
      <c r="AI31" s="1127">
        <f t="shared" si="13"/>
        <v>0</v>
      </c>
      <c r="AJ31" s="1117">
        <f t="shared" si="13"/>
        <v>178</v>
      </c>
      <c r="AK31" s="1117">
        <f t="shared" si="13"/>
        <v>260</v>
      </c>
      <c r="AL31" s="1117">
        <f t="shared" si="13"/>
        <v>0</v>
      </c>
      <c r="AM31" s="1130">
        <f t="shared" si="13"/>
        <v>0</v>
      </c>
      <c r="AN31" s="1120">
        <f>IF(ISNUMBER(Datos!K31/Datos!J31),Datos!K31/Datos!J31," - ")</f>
        <v>0.74794841735052753</v>
      </c>
      <c r="AO31" s="1120">
        <f>IF(ISNUMBER(FIND("06",Criterios!A8,1)),(IF(ISNUMBER(((Datos!R31/Datos!Q31)*11)/factor_trimestre),((Datos!R31/Datos!Q31)*11)/factor_trimestre," - ")),(IF(ISNUMBER(((Datos!L31/Datos!K31)*11)/factor_trimestre),((Datos!L31/Datos!K31)*11)/factor_trimestre," - ")))</f>
        <v>6.8793103448275872</v>
      </c>
      <c r="AP31" s="1131" t="str">
        <f>IF(ISNUMBER(Datos!CI31/Datos!CJ31),Datos!CI31/Datos!CJ31," - ")</f>
        <v xml:space="preserve"> - </v>
      </c>
      <c r="AQ31" s="1131">
        <f>IF(OR(ISNUMBER(FIND("01",Criterios!A8,1)),ISNUMBER(FIND("02",Criterios!A8,1)),ISNUMBER(FIND("03",Criterios!A8,1)),ISNUMBER(FIND("04",Criterios!A8,1))),(J31-Y31+K31)/(F31-K31),(I31-Y31+K31)/(F31-K31))</f>
        <v>-0.85230024213075062</v>
      </c>
      <c r="AR31" s="1131">
        <f>IF(ISNUMBER((Datos!P31-Datos!Q31+O31)/(Datos!R31-Datos!P31+Datos!Q31-O31)),(Datos!P31-Datos!Q31+O31)/(Datos!R31-Datos!P31+Datos!Q31-O31)," - ")</f>
        <v>2.7659574468085105E-2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205.57496605050594</v>
      </c>
      <c r="G33" s="674">
        <f>IF(ISNUMBER(STDEV(G8:G30)),STDEV(G8:G30),"-")</f>
        <v>199.5665541211992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48.565125641466516</v>
      </c>
      <c r="AK33" s="276"/>
      <c r="AL33" s="276">
        <f>IF(ISNUMBER(STDEV(AL8:AL30)),STDEV(AL8:AL30),"-")</f>
        <v>0</v>
      </c>
      <c r="AM33" s="278">
        <f>IF(ISNUMBER(STDEV(AM8:AM30)),STDEV(AM8:AM30),"-")</f>
        <v>0</v>
      </c>
      <c r="AN33" s="660">
        <f>IF(ISNUMBER(STDEV(AN8:AN30)),STDEV(AN8:AN30),"-")</f>
        <v>0</v>
      </c>
      <c r="AO33" s="661">
        <f>IF(ISNUMBER(STDEV(AO8:AO30)),STDEV(AO8:AO30),"-")</f>
        <v>1.8890768892779648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2B7J1ZDPcnZUWh7QhUW0YC1rCvXT8W6ZQmCW7uX35/SjklUVm5SwQYODXQBajxtRV7RLLysiPWXIznZPwPwCZA==" saltValue="6EsZTmNVRzoAxfrAmVuW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yuMEBtJbWYFQln/rib72o0kkjsGkMGXHfUEoTwrcarqRrDO3qXvA8kJJ3X1HaKCnWMdX0yMpl2a02ZkVJzGaw==" saltValue="7o8BktCDujPUdcgpBlmC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73eUxAUUSIyBPn39rdX1euwDd9KI3WKxkpaCzzowhANFNOy1L2YE4B9HKuXeDSzBqNJJK9fnai+wvQbp0frwg==" saltValue="lrYI5Mi1cqKOHk5z+M2M0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MANZANARES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0.35736677115987459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0.25269646725788841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72NJLBcdY2wS6FFzFE4UPfLxXC1PX0aV/0V4aHh/VOJidu7n8lq6LjrJBaBQTggdSt20VYpAWctAWt5N16LyQ==" saltValue="cHb84tGBbqmuWkvXJNQc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fKL13/HnkJuGNttXkXhrG+X9tDfsKKWacfOLS7l65rBgzQdk9hfBXgL4B2yPIyb6A9Vjo+GDr8XXbZTbRstWg==" saltValue="cewMyHj/upcWPij/AimZ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MANZANARES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2</v>
      </c>
      <c r="F10" s="452">
        <f>IF(ISNUMBER(E10/B10),E10/B10," - ")</f>
        <v>2</v>
      </c>
      <c r="G10" s="451">
        <f>IF(ISNUMBER(Datos!K10),Datos!K10," - ")</f>
        <v>4</v>
      </c>
      <c r="H10" s="452">
        <f>IF(ISNUMBER(G10/B10),G10/B10," - ")</f>
        <v>4</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825</v>
      </c>
      <c r="D12" s="452">
        <f>IF(ISNUMBER(C12/Datos!BH12),C12/Datos!BH12," - ")</f>
        <v>412.5</v>
      </c>
      <c r="E12" s="451">
        <f>IF(ISNUMBER(IF(J_V="SI",Datos!J12,Datos!J12+Datos!Z12)),IF(J_V="SI",Datos!J12,Datos!J12+Datos!Z12)," - ")</f>
        <v>352</v>
      </c>
      <c r="F12" s="452">
        <f>IF(ISNUMBER(E12/B12),E12/B12," - ")</f>
        <v>176</v>
      </c>
      <c r="G12" s="451">
        <f>IF(ISNUMBER(IF(J_V="SI",Datos!K12,Datos!K12+Datos!AA12)),IF(J_V="SI",Datos!K12,Datos!K12+Datos!AA12)," - ")</f>
        <v>315</v>
      </c>
      <c r="H12" s="452">
        <f>IF(ISNUMBER(G12/B12),G12/B12," - ")</f>
        <v>157.5</v>
      </c>
      <c r="I12" s="451">
        <f>IF(ISNUMBER(IF(J_V="SI",Datos!L12,Datos!L12+Datos!AB12)),IF(J_V="SI",Datos!L12,Datos!L12+Datos!AB12)," - ")</f>
        <v>862</v>
      </c>
      <c r="J12" s="452">
        <f>IF(ISNUMBER(I12/B12),I12/B12," - ")</f>
        <v>431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835</v>
      </c>
      <c r="D14" s="1147" t="str">
        <f>IF(ISNUMBER(C14/Datos!BI14),C14/Datos!BI14," - ")</f>
        <v xml:space="preserve"> - </v>
      </c>
      <c r="E14" s="1146">
        <f>SUBTOTAL(9,E8:E13)</f>
        <v>354</v>
      </c>
      <c r="F14" s="1147">
        <f>IF(ISNUMBER(E14/B14),E14/B14," - ")</f>
        <v>177</v>
      </c>
      <c r="G14" s="1146">
        <f>SUBTOTAL(9,G8:G13)</f>
        <v>319</v>
      </c>
      <c r="H14" s="1147">
        <f>IF(ISNUMBER(G14/B14),G14/B14," - ")</f>
        <v>159.5</v>
      </c>
      <c r="I14" s="1146">
        <f>SUBTOTAL(9,I8:I13)</f>
        <v>870</v>
      </c>
      <c r="J14" s="1147">
        <f>IF(ISNUMBER(I14/B14),I14/B14," - ")</f>
        <v>435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402</v>
      </c>
      <c r="D17" s="452">
        <f>IF(ISNUMBER(C17/Datos!BH17),C17/Datos!BH17," - ")</f>
        <v>201</v>
      </c>
      <c r="E17" s="451">
        <f>IF(ISNUMBER(IF(D_I="SI",Datos!J17,Datos!J17+Datos!AD17)),IF(D_I="SI",Datos!J17,Datos!J17+Datos!AD17)," - ")</f>
        <v>486</v>
      </c>
      <c r="F17" s="452">
        <f>IF(ISNUMBER(E17/B17),E17/B17," - ")</f>
        <v>243</v>
      </c>
      <c r="G17" s="451">
        <f>IF(ISNUMBER(IF(D_I="SI",Datos!K17,Datos!K17+Datos!AE17)),IF(D_I="SI",Datos!K17,Datos!K17+Datos!AE17)," - ")</f>
        <v>312</v>
      </c>
      <c r="H17" s="452">
        <f>IF(ISNUMBER(G17/B17),G17/B17," - ")</f>
        <v>156</v>
      </c>
      <c r="I17" s="451">
        <f>IF(ISNUMBER(IF(D_I="SI",Datos!L17,Datos!L17+Datos!AF17)),IF(D_I="SI",Datos!L17,Datos!L17+Datos!AF17)," - ")</f>
        <v>577</v>
      </c>
      <c r="J17" s="452">
        <f>IF(ISNUMBER(I17/B17),I17/B17," - ")</f>
        <v>288.5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42</v>
      </c>
      <c r="F18" s="452">
        <f>IF(ISNUMBER(E18/B18),E18/B18," - ")</f>
        <v>42</v>
      </c>
      <c r="G18" s="451">
        <f>IF(ISNUMBER(IF(D_I="SI",Datos!K18,Datos!K18+Datos!AE18)),IF(D_I="SI",Datos!K18,Datos!K18+Datos!AE18)," - ")</f>
        <v>36</v>
      </c>
      <c r="H18" s="452">
        <f>IF(ISNUMBER(G18/B18),G18/B18," - ")</f>
        <v>36</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435</v>
      </c>
      <c r="D23" s="1147" t="str">
        <f>IF(ISNUMBER(C23/Datos!BI23),C23/Datos!BI23," - ")</f>
        <v xml:space="preserve"> - </v>
      </c>
      <c r="E23" s="1146">
        <f>SUBTOTAL(9,E15:E22)</f>
        <v>528</v>
      </c>
      <c r="F23" s="1147">
        <f>IF(ISNUMBER(E23/B23),E23/B23," - ")</f>
        <v>264</v>
      </c>
      <c r="G23" s="1146">
        <f>SUBTOTAL(9,G15:G22)</f>
        <v>348</v>
      </c>
      <c r="H23" s="1147">
        <f>IF(ISNUMBER(G23/B23),G23/B23," - ")</f>
        <v>174</v>
      </c>
      <c r="I23" s="1146">
        <f>SUBTOTAL(9,I15:I22)</f>
        <v>616</v>
      </c>
      <c r="J23" s="1147">
        <f>IF(ISNUMBER(I23/B23),I23/B23," - ")</f>
        <v>308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1270</v>
      </c>
      <c r="D31" s="1085" t="str">
        <f>IF(ISNUMBER(C31/Datos!BI31),C31/Datos!BI31," - ")</f>
        <v xml:space="preserve"> - </v>
      </c>
      <c r="E31" s="1084">
        <f>SUBTOTAL(9,E9:E30)</f>
        <v>882</v>
      </c>
      <c r="F31" s="1085">
        <f>IF(ISNUMBER(E31/B31),E31/B31," - ")</f>
        <v>441</v>
      </c>
      <c r="G31" s="1084">
        <f>SUBTOTAL(9,G9:G30)</f>
        <v>667</v>
      </c>
      <c r="H31" s="1085">
        <f>IF(ISNUMBER(G31/B31),G31/B31," - ")</f>
        <v>333.5</v>
      </c>
      <c r="I31" s="1084">
        <f>SUBTOTAL(9,I9:I30)</f>
        <v>1486</v>
      </c>
      <c r="J31" s="1085">
        <f>IF(ISNUMBER(I31/B31),I31/B31," - ")</f>
        <v>743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ykLDxeFIkR08esevfeL+wFp8bvXWww7OC1JOTYZrU8MwHbwzy1RwJ2/t5dIMHCm/260tRaIHuNRXKqnzJGFjw==" saltValue="HkvR+0/QXj9GeII+5F/gs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MANZANARES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111</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8.2095238095238106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3.0780780780780781E-2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36</v>
      </c>
      <c r="AE14" s="1257">
        <f t="shared" si="1"/>
        <v>0</v>
      </c>
      <c r="AF14" s="1257">
        <f t="shared" si="1"/>
        <v>8</v>
      </c>
      <c r="AG14" s="1257">
        <f t="shared" si="1"/>
        <v>0</v>
      </c>
      <c r="AH14" s="1257">
        <f t="shared" si="1"/>
        <v>1373</v>
      </c>
      <c r="AI14" s="1257">
        <f t="shared" si="1"/>
        <v>0</v>
      </c>
      <c r="AJ14" s="1257">
        <f t="shared" si="1"/>
        <v>0</v>
      </c>
      <c r="AK14" s="1257">
        <f t="shared" si="1"/>
        <v>0</v>
      </c>
      <c r="AL14" s="1257">
        <f t="shared" si="1"/>
        <v>114</v>
      </c>
      <c r="AM14" s="1257">
        <f t="shared" si="1"/>
        <v>84</v>
      </c>
      <c r="AN14" s="1257">
        <f t="shared" si="1"/>
        <v>0</v>
      </c>
      <c r="AO14" s="1257">
        <f t="shared" si="1"/>
        <v>0</v>
      </c>
      <c r="AP14" s="1262">
        <f>IF(ISNUMBER(((Datos!L14/Datos!K14)*11)/factor_trimestre),((Datos!L14/Datos!K14)*11)/factor_trimestre," - ")</f>
        <v>8.7620689655172423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3.0780780780780781E-2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5.3103448275862073</v>
      </c>
      <c r="AQ23" s="1262">
        <f>IF(ISNUMBER(((Datos!M23/Datos!L23)*11)/factor_trimestre),((Datos!M23/Datos!L23)*11)/factor_trimestre," - ")</f>
        <v>0.31168831168831174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-4.4117647058823532E-2</v>
      </c>
      <c r="AW23" s="1265">
        <f>IF(ISNUMBER((Datos!Q23-Datos!R23)/(Datos!S23-Datos!Q23+Datos!R23)),(Datos!Q23-Datos!R23)/(Datos!S23-Datos!Q23+Datos!R23)," - ")</f>
        <v>-8.1494057724957561E-2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36</v>
      </c>
      <c r="AE31" s="1284">
        <f t="shared" si="9"/>
        <v>0</v>
      </c>
      <c r="AF31" s="1285">
        <f t="shared" si="9"/>
        <v>8</v>
      </c>
      <c r="AG31" s="1285">
        <f t="shared" si="9"/>
        <v>0</v>
      </c>
      <c r="AH31" s="1285">
        <f t="shared" si="9"/>
        <v>1373</v>
      </c>
      <c r="AI31" s="1285">
        <f t="shared" si="9"/>
        <v>0</v>
      </c>
      <c r="AJ31" s="1286">
        <f t="shared" si="9"/>
        <v>0</v>
      </c>
      <c r="AK31" s="1286">
        <f t="shared" si="9"/>
        <v>0</v>
      </c>
      <c r="AL31" s="1278">
        <f t="shared" si="9"/>
        <v>114</v>
      </c>
      <c r="AM31" s="1278">
        <f t="shared" si="9"/>
        <v>84</v>
      </c>
      <c r="AN31" s="1278">
        <f t="shared" si="9"/>
        <v>0</v>
      </c>
      <c r="AO31" s="1278">
        <f t="shared" si="9"/>
        <v>0</v>
      </c>
      <c r="AP31" s="1278">
        <f>IF(ISNUMBER(((Datos!L31/Datos!K31)*11)/factor_trimestre),((Datos!L31/Datos!K31)*11)/factor_trimestre," - ")</f>
        <v>6.8793103448275872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2.7659574468085105E-2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57.726943449311435</v>
      </c>
      <c r="AM33" s="1006"/>
      <c r="AN33" s="1006">
        <f>IF(ISNUMBER(STDEV(AN8:AN30)),STDEV(AN8:AN30),"-")</f>
        <v>0</v>
      </c>
      <c r="AO33" s="1012">
        <f>IF(ISNUMBER(STDEV(AO8:AO30)),STDEV(AO8:AO30),"-")</f>
        <v>0</v>
      </c>
      <c r="AP33" s="1065">
        <f>IF(ISNUMBER(STDEV(AP8:AP30)),STDEV(AP8:AP30),"-")</f>
        <v>1.673608604559309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yXn8RJn4WPZXSaiWEFznMud1heTwt+wE0MOYhoxBGla67/2HLdWh4q71oyzrqaK5pux9X5LaalOuGHMpMocRQ==" saltValue="/zmckH4+T5JYxOWI9Icb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MANZANARES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tUcRUnBoGInDIJE1bPSPBdGxxKGy1SFAkJH+EnR2Y31mtjQIXhuOgdEU1+bJFSP2tX9+Z7Tn8m3VKZku0jkUg==" saltValue="Cx7z7xVIGBqgoo9Rkjed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MANZANARES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111</v>
      </c>
      <c r="E12" s="452">
        <f t="shared" si="0"/>
        <v>55.5</v>
      </c>
      <c r="F12" s="451">
        <f>IF(ISNUMBER(Datos!N12),Datos!N12," - ")</f>
        <v>84</v>
      </c>
      <c r="G12" s="452">
        <f t="shared" si="1"/>
        <v>42</v>
      </c>
      <c r="H12" s="451">
        <f>IF(ISNUMBER(Datos!O12),Datos!O12," - ")</f>
        <v>140</v>
      </c>
      <c r="I12" s="452">
        <f t="shared" si="2"/>
        <v>70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114</v>
      </c>
      <c r="E14" s="1147">
        <f t="shared" si="0"/>
        <v>38</v>
      </c>
      <c r="F14" s="1146">
        <f>SUBTOTAL(9,F9:F13)</f>
        <v>84</v>
      </c>
      <c r="G14" s="1147">
        <f t="shared" si="1"/>
        <v>28</v>
      </c>
      <c r="H14" s="1146">
        <f>SUBTOTAL(9,H9:H13)</f>
        <v>140</v>
      </c>
      <c r="I14" s="1147">
        <f>IF(ISNUMBER(H14/B14),H14/B14," - ")</f>
        <v>46.666666666666664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53</v>
      </c>
      <c r="E17" s="452">
        <f t="shared" si="3"/>
        <v>26.5</v>
      </c>
      <c r="F17" s="451">
        <f>IF(ISNUMBER(Datos!N17),Datos!N17," - ")</f>
        <v>166</v>
      </c>
      <c r="G17" s="452">
        <f t="shared" si="4"/>
        <v>83</v>
      </c>
      <c r="H17" s="451">
        <f>IF(ISNUMBER(Datos!O17),Datos!O17," - ")</f>
        <v>5</v>
      </c>
      <c r="I17" s="452">
        <f t="shared" si="5"/>
        <v>2.5</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64</v>
      </c>
      <c r="E23" s="1147">
        <f t="shared" si="3"/>
        <v>21.333333333333332</v>
      </c>
      <c r="F23" s="1146">
        <f>SUBTOTAL(9,F16:F22)</f>
        <v>176</v>
      </c>
      <c r="G23" s="1147">
        <f t="shared" si="4"/>
        <v>58.666666666666664</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178</v>
      </c>
      <c r="E31" s="1085">
        <f>IF(ISNUMBER(D31/B31),D31/B31," - ")</f>
        <v>89</v>
      </c>
      <c r="F31" s="1084">
        <f>SUBTOTAL(9,F8:F30)</f>
        <v>260</v>
      </c>
      <c r="G31" s="1085">
        <f>IF(ISNUMBER(F31/B31),F31/B31," - ")</f>
        <v>130</v>
      </c>
      <c r="H31" s="1084">
        <f>SUBTOTAL(9,H8:H30)</f>
        <v>145</v>
      </c>
      <c r="I31" s="1085">
        <f>IF(ISNUMBER(H31/B31),H31/B31," - ")</f>
        <v>72.5</v>
      </c>
    </row>
    <row r="34" spans="1:1">
      <c r="A34" s="439" t="str">
        <f>Criterios!A4</f>
        <v>Fecha Informe: 05 may. 2023</v>
      </c>
    </row>
    <row r="39" spans="1:1">
      <c r="A39" s="462"/>
    </row>
  </sheetData>
  <sheetProtection algorithmName="SHA-512" hashValue="fpHESXdyn6Cj3jeeHT2na5Lcqdj7eI2Ijo+LvZd18VUEgXWwKPhSdD7MTcWjr8WVLFmxAfx1e6qbdIUCpW9NmQ==" saltValue="xmp0D+nD2VV4rI95wP46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MANZANARES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77</v>
      </c>
      <c r="C12" s="489">
        <f>IF(ISNUMBER(Datos!Q12),Datos!Q12," - ")</f>
        <v>36</v>
      </c>
      <c r="D12" s="456">
        <f>IF(ISNUMBER(Datos!R12),Datos!R12," - ")</f>
        <v>1373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78</v>
      </c>
      <c r="C14" s="1150">
        <f>SUBTOTAL(9,C9:C13)</f>
        <v>36</v>
      </c>
      <c r="D14" s="1148">
        <f>SUBTOTAL(9,D9:D13)</f>
        <v>1384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17</v>
      </c>
      <c r="D17" s="456">
        <f>IF(ISNUMBER(Datos!R17),Datos!R17," - ")</f>
        <v>64</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17</v>
      </c>
      <c r="D23" s="1148">
        <f>SUBTOTAL(9,D16:D22)</f>
        <v>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92</v>
      </c>
      <c r="C31" s="1089">
        <f>SUBTOTAL(9,C8:C30)</f>
        <v>53</v>
      </c>
      <c r="D31" s="1090">
        <f>SUBTOTAL(9,D8:D30)</f>
        <v>1449</v>
      </c>
    </row>
    <row r="32" spans="1:4" ht="7.5" customHeight="1"/>
    <row r="33" spans="1:1" ht="6" customHeight="1"/>
    <row r="34" spans="1:1">
      <c r="A34" s="439" t="str">
        <f>Criterios!A4</f>
        <v>Fecha Informe: 05 may. 2023</v>
      </c>
    </row>
    <row r="39" spans="1:1">
      <c r="A39" s="462"/>
    </row>
  </sheetData>
  <sheetProtection algorithmName="SHA-512" hashValue="iKREjus9Gamfx/FL4M3HYV/tynuri93JZBnxRtJoI9i+v0hPbnmhcqIMqBiFBsVMfkdtKcL9ICJQw49bsvt94Q==" saltValue="jTYlkKiaMtP8fK81DSrg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MANZANARES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-0.5</v>
      </c>
      <c r="D10" s="515">
        <f>IF(ISNUMBER((Datos!K10-Datos!U10)/Datos!U10),(Datos!K10-Datos!U10)/Datos!U10," - ")</f>
        <v>0</v>
      </c>
      <c r="E10" s="515">
        <f>IF(ISNUMBER((Datos!L10-Datos!V10)/Datos!V10),(Datos!L10-Datos!V10)/Datos!V10," - ")</f>
        <v>0.33333333333333331</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0.33333333333333331</v>
      </c>
      <c r="J10" s="521">
        <f>IF(ISNUMBER((('Resol  Asuntos'!D10/NºAsuntos!G10)-Datos!BF10)/Datos!BF10),(('Resol  Asuntos'!D10/NºAsuntos!G10)-Datos!BF10)/Datos!BF10," - ")</f>
        <v>0</v>
      </c>
      <c r="K10" s="522">
        <f>IF(ISNUMBER((((NºAsuntos!C10+NºAsuntos!E10)/NºAsuntos!G10)-Datos!BG10)/Datos!BG10),(((NºAsuntos!C10+NºAsuntos!E10)/NºAsuntos!G10)-Datos!BG10)/Datos!BG10," - ")</f>
        <v>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-4.8250904704463205E-3</v>
      </c>
      <c r="C12" s="515">
        <f>IF(ISNUMBER(
   IF(J_V="SI",(Datos!J12-Datos!T12)/Datos!T12,(Datos!J12+Datos!Z12-(Datos!T12+Datos!AH12))/(Datos!T12+Datos!AH12))
     ),IF(J_V="SI",(Datos!J12-Datos!T12)/Datos!T12,(Datos!J12+Datos!Z12-(Datos!T12+Datos!AH12))/(Datos!T12+Datos!AH12))," - ")</f>
        <v>0.14285714285714285</v>
      </c>
      <c r="D12" s="515">
        <f>IF(ISNUMBER(
   IF(J_V="SI",(Datos!K12-Datos!U12)/Datos!U12,(Datos!K12+Datos!AA12-(Datos!U12+Datos!AI12))/(Datos!U12+Datos!AI12))
     ),IF(J_V="SI",(Datos!K12-Datos!U12)/Datos!U12,(Datos!K12+Datos!AA12-(Datos!U12+Datos!AI12))/(Datos!U12+Datos!AI12))," - ")</f>
        <v>-1.5625E-2</v>
      </c>
      <c r="E12" s="515">
        <f>IF(ISNUMBER(
   IF(J_V="SI",(Datos!L12-Datos!V12)/Datos!V12,(Datos!L12+Datos!AB12-(Datos!V12+Datos!AJ12))/(Datos!V12+Datos!AJ12))
     ),IF(J_V="SI",(Datos!L12-Datos!V12)/Datos!V12,(Datos!L12+Datos!AB12-(Datos!V12+Datos!AJ12))/(Datos!V12+Datos!AJ12))," - ")</f>
        <v>5.5079559363525092E-2</v>
      </c>
      <c r="F12" s="515">
        <f>IF(ISNUMBER((Datos!M12-Datos!W12)/Datos!W12),(Datos!M12-Datos!W12)/Datos!W12," - ")</f>
        <v>0.27586206896551724</v>
      </c>
      <c r="G12" s="516">
        <f>IF(ISNUMBER((Datos!N12-Datos!X12)/Datos!X12),(Datos!N12-Datos!X12)/Datos!X12," - ")</f>
        <v>-0.10638297872340426</v>
      </c>
      <c r="H12" s="514">
        <f>IF(ISNUMBER(((NºAsuntos!G12/NºAsuntos!E12)-Datos!BD12)/Datos!BD12),((NºAsuntos!G12/NºAsuntos!E12)-Datos!BD12)/Datos!BD12," - ")</f>
        <v>-0.13867187499999992</v>
      </c>
      <c r="I12" s="515">
        <f>IF(ISNUMBER(((NºAsuntos!I12/NºAsuntos!G12)-Datos!BE12)/Datos!BE12),((NºAsuntos!I12/NºAsuntos!G12)-Datos!BE12)/Datos!BE12," - ")</f>
        <v>7.1826853956596895E-2</v>
      </c>
      <c r="J12" s="521">
        <f>IF(ISNUMBER((('Resol  Asuntos'!D12/NºAsuntos!G12)-Datos!BF12)/Datos!BF12),(('Resol  Asuntos'!D12/NºAsuntos!G12)-Datos!BF12)/Datos!BF12," - ")</f>
        <v>0.19959473150962517</v>
      </c>
      <c r="K12" s="522">
        <f>IF(ISNUMBER((((NºAsuntos!C12+NºAsuntos!E12)/NºAsuntos!G12)-Datos!BG12)/Datos!BG12),(((NºAsuntos!C12+NºAsuntos!E12)/NºAsuntos!G12)-Datos!BG12)/Datos!BG12," - ")</f>
        <v>5.1611732350518615E-2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v>
      </c>
      <c r="C14" s="1152">
        <f>IF(ISNUMBER(
   IF(J_V="SI",(Datos!J14-Datos!T14)/Datos!T14,(Datos!J14+Datos!Z14-(Datos!T14+Datos!AH14))/(Datos!T14+Datos!AH14))
     ),IF(J_V="SI",(Datos!J14-Datos!T14)/Datos!T14,(Datos!J14+Datos!Z14-(Datos!T14+Datos!AH14))/(Datos!T14+Datos!AH14))," - ")</f>
        <v>0.13461538461538461</v>
      </c>
      <c r="D14" s="1152">
        <f>IF(ISNUMBER(
   IF(J_V="SI",(Datos!K14-Datos!U14)/Datos!U14,(Datos!K14+Datos!AA14-(Datos!U14+Datos!AI14))/(Datos!U14+Datos!AI14))
     ),IF(J_V="SI",(Datos!K14-Datos!U14)/Datos!U14,(Datos!K14+Datos!AA14-(Datos!U14+Datos!AI14))/(Datos!U14+Datos!AI14))," - ")</f>
        <v>-1.5432098765432098E-2</v>
      </c>
      <c r="E14" s="1152">
        <f>IF(ISNUMBER(
   IF(J_V="SI",(Datos!L14-Datos!V14)/Datos!V14,(Datos!L14+Datos!AB14-(Datos!V14+Datos!AJ14))/(Datos!V14+Datos!AJ14))
     ),IF(J_V="SI",(Datos!L14-Datos!V14)/Datos!V14,(Datos!L14+Datos!AB14-(Datos!V14+Datos!AJ14))/(Datos!V14+Datos!AJ14))," - ")</f>
        <v>5.7108140947752128E-2</v>
      </c>
      <c r="F14" s="1153">
        <f>IF(ISNUMBER((Datos!M14-Datos!W14)/Datos!W14),(Datos!M14-Datos!W14)/Datos!W14," - ")</f>
        <v>0.26666666666666666</v>
      </c>
      <c r="G14" s="1154">
        <f>IF(ISNUMBER((Datos!N14-Datos!X14)/Datos!X14),(Datos!N14-Datos!X14)/Datos!X14," - ")</f>
        <v>-0.10638297872340426</v>
      </c>
      <c r="H14" s="1154">
        <f>IF(ISNUMBER(((NºAsuntos!G14/NºAsuntos!E14)-Datos!BD14)/Datos!BD14),((NºAsuntos!G14/NºAsuntos!E14)-Datos!BD14)/Datos!BD14," - ")</f>
        <v>-0.13224523958987247</v>
      </c>
      <c r="I14" s="1154">
        <f>IF(ISNUMBER(((NºAsuntos!I14/NºAsuntos!G14)-Datos!BE14)/Datos!BE14),((NºAsuntos!I14/NºAsuntos!G14)-Datos!BE14)/Datos!BE14," - ")</f>
        <v>7.3677234066055391E-2</v>
      </c>
      <c r="J14" s="1154">
        <f>IF(ISNUMBER((('Resol  Asuntos'!D14/NºAsuntos!G14)-Datos!BF14)/Datos!BF14),(('Resol  Asuntos'!D14/NºAsuntos!G14)-Datos!BF14)/Datos!BF14," - ")</f>
        <v>0.19367869954432337</v>
      </c>
      <c r="K14" s="1154">
        <f>IF(ISNUMBER((((NºAsuntos!C14+NºAsuntos!E14)/NºAsuntos!G14)-Datos!BG14)/Datos!BG14),(((NºAsuntos!C14+NºAsuntos!E14)/NºAsuntos!G14)-Datos!BG14)/Datos!BG14," - ")</f>
        <v>5.2865181897439918E-2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-0.21637426900584794</v>
      </c>
      <c r="C17" s="515">
        <f>IF(ISNUMBER(
   IF(D_I="SI",(Datos!J17-Datos!T17)/Datos!T17,(Datos!J17+Datos!AD17-(Datos!T17+Datos!AL17))/(Datos!T17+Datos!AL17))
     ),IF(D_I="SI",(Datos!J17-Datos!T17)/Datos!T17,(Datos!J17+Datos!AD17-(Datos!T17+Datos!AL17))/(Datos!T17+Datos!AL17))," - ")</f>
        <v>0.35754189944134079</v>
      </c>
      <c r="D17" s="515">
        <f>IF(ISNUMBER(
   IF(D_I="SI",(Datos!K17-Datos!U17)/Datos!U17,(Datos!K17+Datos!AE17-(Datos!U17+Datos!AM17))/(Datos!U17+Datos!AM17))
     ),IF(D_I="SI",(Datos!K17-Datos!U17)/Datos!U17,(Datos!K17+Datos!AE17-(Datos!U17+Datos!AM17))/(Datos!U17+Datos!AM17))," - ")</f>
        <v>-0.19379844961240311</v>
      </c>
      <c r="E17" s="515">
        <f>IF(ISNUMBER(
   IF(D_I="SI",(Datos!L17-Datos!V17)/Datos!V17,(Datos!L17+Datos!AF17-(Datos!V17+Datos!AN17))/(Datos!V17+Datos!AN17))
     ),IF(D_I="SI",(Datos!L17-Datos!V17)/Datos!V17,(Datos!L17+Datos!AF17-(Datos!V17+Datos!AN17))/(Datos!V17+Datos!AN17))," - ")</f>
        <v>0.18237704918032788</v>
      </c>
      <c r="F17" s="515">
        <f>IF(ISNUMBER((Datos!M17-Datos!W17)/Datos!W17),(Datos!M17-Datos!W17)/Datos!W17," - ")</f>
        <v>1.9230769230769232E-2</v>
      </c>
      <c r="G17" s="516">
        <f>IF(ISNUMBER((Datos!N17-Datos!X17)/Datos!X17),(Datos!N17-Datos!X17)/Datos!X17," - ")</f>
        <v>-0.23502304147465439</v>
      </c>
      <c r="H17" s="514">
        <f>IF(ISNUMBER(((NºAsuntos!G17/NºAsuntos!E17)-Datos!BD17)/Datos!BD17),((NºAsuntos!G17/NºAsuntos!E17)-Datos!BD17)/Datos!BD17," - ")</f>
        <v>-0.40613136823300483</v>
      </c>
      <c r="I17" s="515">
        <f>IF(ISNUMBER(((NºAsuntos!I17/NºAsuntos!G17)-Datos!BE17)/Datos!BE17),((NºAsuntos!I17/NºAsuntos!G17)-Datos!BE17)/Datos!BE17," - ")</f>
        <v>0.4666023013871376</v>
      </c>
      <c r="J17" s="521">
        <f>IF(ISNUMBER((('Resol  Asuntos'!D17/NºAsuntos!G17)-Datos!BF17)/Datos!BF17),(('Resol  Asuntos'!D17/NºAsuntos!G17)-Datos!BF17)/Datos!BF17," - ")</f>
        <v>0.26423816568047337</v>
      </c>
      <c r="K17" s="522">
        <f>IF(ISNUMBER((((NºAsuntos!C17+NºAsuntos!E17)/NºAsuntos!G17)-Datos!BG17)/Datos!BG17),(((NºAsuntos!C17+NºAsuntos!E17)/NºAsuntos!G17)-Datos!BG17)/Datos!BG17," - ")</f>
        <v>0.26459418881921765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0.17857142857142858</v>
      </c>
      <c r="C18" s="515">
        <f>IF(ISNUMBER(
   IF(D_I="SI",(Datos!J18-Datos!T18)/Datos!T18,(Datos!J18+Datos!AD18-(Datos!T18+Datos!AL18))/(Datos!T18+Datos!AL18))
     ),IF(D_I="SI",(Datos!J18-Datos!T18)/Datos!T18,(Datos!J18+Datos!AD18-(Datos!T18+Datos!AL18))/(Datos!T18+Datos!AL18))," - ")</f>
        <v>-8.6956521739130432E-2</v>
      </c>
      <c r="D18" s="515">
        <f>IF(ISNUMBER(
   IF(D_I="SI",(Datos!K18-Datos!U18)/Datos!U18,(Datos!K18+Datos!AE18-(Datos!U18+Datos!AM18))/(Datos!U18+Datos!AM18))
     ),IF(D_I="SI",(Datos!K18-Datos!U18)/Datos!U18,(Datos!K18+Datos!AE18-(Datos!U18+Datos!AM18))/(Datos!U18+Datos!AM18))," - ")</f>
        <v>-0.26530612244897961</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0.5714285714285714</v>
      </c>
      <c r="G18" s="516">
        <f>IF(ISNUMBER((Datos!N18-Datos!X18)/Datos!X18),(Datos!N18-Datos!X18)/Datos!X18," - ")</f>
        <v>-0.6428571428571429</v>
      </c>
      <c r="H18" s="514">
        <f>IF(ISNUMBER(((NºAsuntos!G18/NºAsuntos!E18)-Datos!BD18)/Datos!BD18),((NºAsuntos!G18/NºAsuntos!E18)-Datos!BD18)/Datos!BD18," - ")</f>
        <v>-0.19533527696793013</v>
      </c>
      <c r="I18" s="515">
        <f>IF(ISNUMBER(((NºAsuntos!I18/NºAsuntos!G18)-Datos!BE18)/Datos!BE18),((NºAsuntos!I18/NºAsuntos!G18)-Datos!BE18)/Datos!BE18," - ")</f>
        <v>1.0416666666666663</v>
      </c>
      <c r="J18" s="521">
        <f>IF(ISNUMBER((('Resol  Asuntos'!D18/NºAsuntos!G18)-Datos!BF18)/Datos!BF18),(('Resol  Asuntos'!D18/NºAsuntos!G18)-Datos!BF18)/Datos!BF18," - ")</f>
        <v>1.1388888888888893</v>
      </c>
      <c r="K18" s="522">
        <f>IF(ISNUMBER((((NºAsuntos!C18+NºAsuntos!E18)/NºAsuntos!G18)-Datos!BG18)/Datos!BG18),(((NºAsuntos!C18+NºAsuntos!E18)/NºAsuntos!G18)-Datos!BG18)/Datos!BG18," - ")</f>
        <v>0.37950450450450468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-0.19593345656192238</v>
      </c>
      <c r="C23" s="1152">
        <f>IF(ISNUMBER(
   IF(Criterios!B14="SI",(Datos!J23-Datos!T23)/Datos!T23,(Datos!J23+Datos!AD23-(Datos!T23+Datos!AL23))/(Datos!T23+Datos!AL23))
     ),IF(Criterios!B14="SI",(Datos!J23-Datos!T23)/Datos!T23,(Datos!J23+Datos!AD23-(Datos!T23+Datos!AL23))/(Datos!T23+Datos!AL23))," - ")</f>
        <v>0.30693069306930693</v>
      </c>
      <c r="D23" s="1152">
        <f>IF(ISNUMBER(
   IF(Criterios!B14="SI",(Datos!K23-Datos!U23)/Datos!U23,(Datos!K23+Datos!AE23-(Datos!U23+Datos!AM23))/(Datos!U23+Datos!AM23))
     ),IF(Criterios!B14="SI",(Datos!K23-Datos!U23)/Datos!U23,(Datos!K23+Datos!AE23-(Datos!U23+Datos!AM23))/(Datos!U23+Datos!AM23))," - ")</f>
        <v>-0.20183486238532111</v>
      </c>
      <c r="E23" s="1152">
        <f>IF(ISNUMBER(
   IF(Criterios!B14="SI",(Datos!L23-Datos!V23)/Datos!V23,(Datos!L23+Datos!AF23-(Datos!V23+Datos!AN23))/(Datos!V23+Datos!AN23))
     ),IF(Criterios!B14="SI",(Datos!L23-Datos!V23)/Datos!V23,(Datos!L23+Datos!AF23-(Datos!V23+Datos!AN23))/(Datos!V23+Datos!AN23))," - ")</f>
        <v>0.19844357976653695</v>
      </c>
      <c r="F23" s="1153">
        <f>IF(ISNUMBER((Datos!M23-Datos!W23)/Datos!W23),(Datos!M23-Datos!W23)/Datos!W23," - ")</f>
        <v>8.4745762711864403E-2</v>
      </c>
      <c r="G23" s="1154">
        <f>IF(ISNUMBER((Datos!N23-Datos!X23)/Datos!X23),(Datos!N23-Datos!X23)/Datos!X23," - ")</f>
        <v>-0.28163265306122448</v>
      </c>
      <c r="H23" s="1154">
        <f>IF(ISNUMBER(((NºAsuntos!G23/NºAsuntos!E23)-Datos!BD23)/Datos!BD23),((NºAsuntos!G23/NºAsuntos!E23)-Datos!BD23)/Datos!BD23," - ")</f>
        <v>-0.38928273561301091</v>
      </c>
      <c r="I23" s="1154">
        <f>IF(ISNUMBER(((NºAsuntos!I23/NºAsuntos!G23)-Datos!BE23)/Datos!BE23),((NºAsuntos!I23/NºAsuntos!G23)-Datos!BE23)/Datos!BE23," - ")</f>
        <v>0.50149827809830505</v>
      </c>
      <c r="J23" s="1154">
        <f>IF(ISNUMBER((('Resol  Asuntos'!D23/NºAsuntos!G23)-Datos!BF23)/Datos!BF23),(('Resol  Asuntos'!D23/NºAsuntos!G23)-Datos!BF23)/Datos!BF23," - ")</f>
        <v>0.35904928891486465</v>
      </c>
      <c r="K23" s="1154">
        <f>IF(ISNUMBER((((NºAsuntos!C23+NºAsuntos!E23)/NºAsuntos!G23)-Datos!BG23)/Datos!BG23),(((NºAsuntos!C23+NºAsuntos!E23)/NºAsuntos!G23)-Datos!BG23)/Datos!BG23," - ")</f>
        <v>0.27673782156540783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-7.7034883720930231E-2</v>
      </c>
      <c r="C31" s="1092">
        <f>IF(ISNUMBER(
   IF(J_V="SI",(Datos!J31-Datos!T31)/Datos!T31,(Datos!J31+Datos!Z31-(Datos!T31+Datos!AH31))/(Datos!T31+Datos!AH31))
     ),IF(J_V="SI",(Datos!J31-Datos!T31)/Datos!T31,(Datos!J31+Datos!Z31-(Datos!T31+Datos!AH31))/(Datos!T31+Datos!AH31))," - ")</f>
        <v>0.23184357541899442</v>
      </c>
      <c r="D31" s="1092">
        <f>IF(ISNUMBER(
   IF(J_V="SI",(Datos!K31-Datos!U31)/Datos!U31,(Datos!K31+Datos!AA31-(Datos!U31+Datos!AI31))/(Datos!U31+Datos!AI31))
     ),IF(J_V="SI",(Datos!K31-Datos!U31)/Datos!U31,(Datos!K31+Datos!AA31-(Datos!U31+Datos!AI31))/(Datos!U31+Datos!AI31))," - ")</f>
        <v>-0.12236842105263158</v>
      </c>
      <c r="E31" s="1092">
        <f>IF(ISNUMBER(
   IF(J_V="SI",(Datos!L31-Datos!V31)/Datos!V31,(Datos!L31+Datos!AB31-(Datos!V31+Datos!AJ31))/(Datos!V31+Datos!AJ31))
     ),IF(J_V="SI",(Datos!L31-Datos!V31)/Datos!V31,(Datos!L31+Datos!AB31-(Datos!V31+Datos!AJ31))/(Datos!V31+Datos!AJ31))," - ")</f>
        <v>0.11144353029169783</v>
      </c>
      <c r="F31" s="1093">
        <f>IF(ISNUMBER((Datos!M31-Datos!W31)/Datos!W31),(Datos!M31-Datos!W31)/Datos!W31," - ")</f>
        <v>0.19463087248322147</v>
      </c>
      <c r="G31" s="1094">
        <f>IF(ISNUMBER((Datos!N31-Datos!X31)/Datos!X31),(Datos!N31-Datos!X31)/Datos!X31," - ")</f>
        <v>-0.23303834808259588</v>
      </c>
      <c r="H31" s="1095">
        <f>IF(ISNUMBER((Tasas!B31-Datos!BD31)/Datos!BD31),(Tasas!B31-Datos!BD31)/Datos!BD31," - ")</f>
        <v>-0.28754624656880301</v>
      </c>
      <c r="I31" s="1096">
        <f>IF(ISNUMBER((Tasas!C31-Datos!BE31)/Datos!BE31),(Tasas!C31-Datos!BE31)/Datos!BE31," - ")</f>
        <v>0.26641241832337387</v>
      </c>
      <c r="J31" s="1097">
        <f>IF(ISNUMBER((Tasas!D31-Datos!BF31)/Datos!BF31),(Tasas!D31-Datos!BF31)/Datos!BF31," - ")</f>
        <v>0.30011917118363884</v>
      </c>
      <c r="K31" s="1097">
        <f>IF(ISNUMBER((Tasas!E31-Datos!BG31)/Datos!BG31),(Tasas!E31-Datos!BG31)/Datos!BG31," - ")</f>
        <v>0.17210992973876355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r7z2AwvtmTXXEm9BS2qgdHBjt7BSCZLSQMfeXXDiAYOKMqegd7YWbxWlCJm2iPQ3XzPC7m930zfgkAVwA1e5A==" saltValue="Rdgz31I1HTzAApUCUf08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MANZANARES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2</v>
      </c>
      <c r="D10" s="499">
        <f>IF(ISNUMBER('Resol  Asuntos'!D10/NºAsuntos!G10),'Resol  Asuntos'!D10/NºAsuntos!G10," - ")</f>
        <v>0.75</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0.89488636363636365</v>
      </c>
      <c r="C12" s="498">
        <f>IF(ISNUMBER(NºAsuntos!I12/NºAsuntos!G12),NºAsuntos!I12/NºAsuntos!G12," - ")</f>
        <v>2.7365079365079366</v>
      </c>
      <c r="D12" s="499">
        <f>IF(ISNUMBER('Resol  Asuntos'!D12/NºAsuntos!G12),'Resol  Asuntos'!D12/NºAsuntos!G12," - ")</f>
        <v>0.35238095238095241</v>
      </c>
      <c r="E12" s="500">
        <f>IF(ISNUMBER((NºAsuntos!C12+NºAsuntos!E12)/NºAsuntos!G12),(NºAsuntos!C12+NºAsuntos!E12)/NºAsuntos!G12," - ")</f>
        <v>3.7365079365079366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0.90112994350282483</v>
      </c>
      <c r="C14" s="1156">
        <f>IF(ISNUMBER(NºAsuntos!I14/NºAsuntos!G14),NºAsuntos!I14/NºAsuntos!G14," - ")</f>
        <v>2.7272727272727271</v>
      </c>
      <c r="D14" s="1157">
        <f>IF(ISNUMBER('Resol  Asuntos'!D14/NºAsuntos!G14),'Resol  Asuntos'!D14/NºAsuntos!G14," - ")</f>
        <v>0.35736677115987459</v>
      </c>
      <c r="E14" s="1158">
        <f>IF(ISNUMBER((NºAsuntos!C14+NºAsuntos!E14)/NºAsuntos!G14),(NºAsuntos!C14+NºAsuntos!E14)/NºAsuntos!G14," - ")</f>
        <v>3.7272727272727271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0.64197530864197527</v>
      </c>
      <c r="C17" s="498">
        <f>IF(ISNUMBER(NºAsuntos!I17/NºAsuntos!G17),NºAsuntos!I17/NºAsuntos!G17," - ")</f>
        <v>1.8493589743589745</v>
      </c>
      <c r="D17" s="499">
        <f>IF(ISNUMBER('Resol  Asuntos'!D17/NºAsuntos!G17),'Resol  Asuntos'!D17/NºAsuntos!G17," - ")</f>
        <v>0.16987179487179488</v>
      </c>
      <c r="E17" s="500">
        <f>IF(ISNUMBER((NºAsuntos!C17+NºAsuntos!E17)/NºAsuntos!G17),(NºAsuntos!C17+NºAsuntos!E17)/NºAsuntos!G17," - ")</f>
        <v>2.8461538461538463</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1.0833333333333333</v>
      </c>
      <c r="D18" s="499">
        <f>IF(ISNUMBER('Resol  Asuntos'!D18/NºAsuntos!G18),'Resol  Asuntos'!D18/NºAsuntos!G18," - ")</f>
        <v>0.30555555555555558</v>
      </c>
      <c r="E18" s="500">
        <f>IF(ISNUMBER((NºAsuntos!C18+NºAsuntos!E18)/NºAsuntos!G18),(NºAsuntos!C18+NºAsuntos!E18)/NºAsuntos!G18," - ")</f>
        <v>2.0833333333333335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0.65909090909090906</v>
      </c>
      <c r="C23" s="1156">
        <f>IF(ISNUMBER(NºAsuntos!I23/NºAsuntos!G23),NºAsuntos!I23/NºAsuntos!G23," - ")</f>
        <v>1.7701149425287357</v>
      </c>
      <c r="D23" s="1159">
        <f>IF(ISNUMBER('Resol  Asuntos'!D23/NºAsuntos!G23),'Resol  Asuntos'!D23/NºAsuntos!G23," - ")</f>
        <v>0.18390804597701149</v>
      </c>
      <c r="E23" s="1158">
        <f>IF(ISNUMBER((NºAsuntos!C23+NºAsuntos!E23)/NºAsuntos!G23),(NºAsuntos!C23+NºAsuntos!E23)/NºAsuntos!G23," - ")</f>
        <v>2.7672413793103448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0.75623582766439912</v>
      </c>
      <c r="C31" s="1099">
        <f>IF(ISNUMBER(NºAsuntos!I31/NºAsuntos!G31),NºAsuntos!I31/NºAsuntos!G31," - ")</f>
        <v>2.2278860569715144</v>
      </c>
      <c r="D31" s="1100">
        <f>IF(ISNUMBER('Resol  Asuntos'!D31/NºAsuntos!G31),'Resol  Asuntos'!D31/NºAsuntos!G31," - ")</f>
        <v>0.26686656671664166</v>
      </c>
      <c r="E31" s="1101">
        <f>IF(ISNUMBER((NºAsuntos!C31+NºAsuntos!E31)/NºAsuntos!G31),(NºAsuntos!C31+NºAsuntos!E31)/NºAsuntos!G31," - ")</f>
        <v>3.2263868065967016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MdjxwUarOO3PnoWuCER76uo5I+7/BVkOB/eUEJjXxKElp2HBRibRyf8wnyPc0FQjni6F0eXrarzregUxCVrMQ==" saltValue="/Z6mDbe3+4qXMRQB9HM0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MANZANARES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8</v>
      </c>
      <c r="AB10" s="374">
        <f>IF(ISNUMBER(Datos!R10),Datos!R10," - ")</f>
        <v>11</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6</v>
      </c>
      <c r="AN10" s="267">
        <f>IF(ISNUMBER('Resol  Asuntos'!D10/NºAsuntos!G10),'Resol  Asuntos'!D10/NºAsuntos!G10," - ")</f>
        <v>0.75</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v>
      </c>
      <c r="Y12" s="374">
        <f t="shared" si="0"/>
        <v>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111</v>
      </c>
      <c r="AJ12" s="243" t="str">
        <f>IF(ISNUMBER(Datos!BW12),Datos!BW12," - ")</f>
        <v xml:space="preserve"> - </v>
      </c>
      <c r="AK12" s="242" t="str">
        <f>IF(ISNUMBER(Datos!BX12),Datos!BX12," - ")</f>
        <v xml:space="preserve"> - </v>
      </c>
      <c r="AL12" s="266">
        <f>IF(ISNUMBER(NºAsuntos!G12/NºAsuntos!E12),NºAsuntos!G12/NºAsuntos!E12," - ")</f>
        <v>0.89488636363636365</v>
      </c>
      <c r="AM12" s="284">
        <f>IF(ISNUMBER(((NºAsuntos!I12/NºAsuntos!G12)*11)/factor_trimestre),((NºAsuntos!I12/NºAsuntos!G12)*11)/factor_trimestre," - ")</f>
        <v>8.2095238095238106</v>
      </c>
      <c r="AN12" s="267">
        <f>IF(ISNUMBER('Resol  Asuntos'!D12/NºAsuntos!G12),'Resol  Asuntos'!D12/NºAsuntos!G12," - ")</f>
        <v>0.35238095238095241</v>
      </c>
      <c r="AO12" s="268">
        <f>IF(ISNUMBER((NºAsuntos!C12+NºAsuntos!E12)/NºAsuntos!G12),(NºAsuntos!C12+NºAsuntos!E12)/NºAsuntos!G12," - ")</f>
        <v>3.7365079365079366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36</v>
      </c>
      <c r="Y14" s="1165">
        <f t="shared" si="6"/>
        <v>40</v>
      </c>
      <c r="Z14" s="1165">
        <f t="shared" si="6"/>
        <v>0</v>
      </c>
      <c r="AA14" s="1165">
        <f t="shared" si="6"/>
        <v>8</v>
      </c>
      <c r="AB14" s="1165">
        <f t="shared" si="6"/>
        <v>1384</v>
      </c>
      <c r="AC14" s="1165">
        <f t="shared" si="6"/>
        <v>19</v>
      </c>
      <c r="AD14" s="1165">
        <f t="shared" si="6"/>
        <v>0</v>
      </c>
      <c r="AE14" s="1169">
        <f t="shared" si="6"/>
        <v>0</v>
      </c>
      <c r="AF14" s="1162">
        <f t="shared" si="6"/>
        <v>0</v>
      </c>
      <c r="AG14" s="1170">
        <f t="shared" si="6"/>
        <v>0</v>
      </c>
      <c r="AH14" s="1167">
        <f t="shared" si="6"/>
        <v>0</v>
      </c>
      <c r="AI14" s="1162">
        <f t="shared" si="6"/>
        <v>114</v>
      </c>
      <c r="AJ14" s="1164">
        <f t="shared" si="6"/>
        <v>0</v>
      </c>
      <c r="AK14" s="1167">
        <f>SUBTOTAL(9,AK9:AK13)</f>
        <v>0</v>
      </c>
      <c r="AL14" s="1171">
        <f>IF(ISNUMBER(NºAsuntos!G14/NºAsuntos!E14),NºAsuntos!G14/NºAsuntos!E14," - ")</f>
        <v>0.90112994350282483</v>
      </c>
      <c r="AM14" s="1171">
        <f>IF(ISNUMBER(((NºAsuntos!I14/NºAsuntos!G14)*11)/factor_trimestre),((NºAsuntos!I14/NºAsuntos!G14)*11)/factor_trimestre," - ")</f>
        <v>8.1818181818181817</v>
      </c>
      <c r="AN14" s="1172">
        <f>IF(ISNUMBER('Resol  Asuntos'!D14/NºAsuntos!G14),'Resol  Asuntos'!D14/NºAsuntos!G14," - ")</f>
        <v>0.35736677115987459</v>
      </c>
      <c r="AO14" s="1173">
        <f>IF(ISNUMBER((NºAsuntos!C14+NºAsuntos!E14)/NºAsuntos!G14),(NºAsuntos!C14+NºAsuntos!E14)/NºAsuntos!G14," - ")</f>
        <v>3.7272727272727271</v>
      </c>
      <c r="AP14" s="1174" t="str">
        <f t="shared" si="2"/>
        <v xml:space="preserve"> - </v>
      </c>
      <c r="AQ14" s="1174">
        <f>IF(ISNUMBER((H14-W14+K14)/(F14)),(H14-W14+K14)/(F14)," - ")</f>
        <v>-0.4</v>
      </c>
      <c r="AR14" s="1175">
        <f>IF(ISNUMBER((Datos!P14-Datos!Q14)/(Datos!R14-Datos!P14+Datos!Q14)),(Datos!P14-Datos!Q14)/(Datos!R14-Datos!P14+Datos!Q14)," - ")</f>
        <v>3.129657228017884E-2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403</v>
      </c>
      <c r="G17" s="373">
        <f>IF(ISNUMBER(IF(D_I="SI",Datos!I17,Datos!I17+Datos!AC17)),IF(D_I="SI",Datos!I17,Datos!I17+Datos!AC17)," - ")</f>
        <v>402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312</v>
      </c>
      <c r="X17" s="240">
        <f>IF(ISNUMBER(Datos!Q17),Datos!Q17," - ")</f>
        <v>17</v>
      </c>
      <c r="Y17" s="374">
        <f t="shared" ref="Y17:Y22" si="9">SUM(W17:X17)</f>
        <v>329</v>
      </c>
      <c r="Z17" s="375" t="str">
        <f>IF(ISNUMBER(Datos!CC17),Datos!CC17," - ")</f>
        <v xml:space="preserve"> - </v>
      </c>
      <c r="AA17" s="372">
        <f>IF(ISNUMBER(IF(D_I="SI",Datos!L17,Datos!L17+Datos!AF17)),IF(D_I="SI",Datos!L17,Datos!L17+Datos!AF17)," - ")</f>
        <v>577</v>
      </c>
      <c r="AB17" s="374">
        <f>IF(ISNUMBER(Datos!R17),Datos!R17," - ")</f>
        <v>64</v>
      </c>
      <c r="AC17" s="374">
        <f t="shared" si="8"/>
        <v>641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0.64197530864197527</v>
      </c>
      <c r="AM17" s="284">
        <f>IF(ISNUMBER(((NºAsuntos!I17/NºAsuntos!G17)*11)/factor_trimestre),((NºAsuntos!I17/NºAsuntos!G17)*11)/factor_trimestre," - ")</f>
        <v>5.5480769230769234</v>
      </c>
      <c r="AN17" s="267">
        <f>IF(ISNUMBER('Resol  Asuntos'!D17/NºAsuntos!G17),'Resol  Asuntos'!D17/NºAsuntos!G17," - ")</f>
        <v>0.16987179487179488</v>
      </c>
      <c r="AO17" s="268">
        <f>IF(ISNUMBER((NºAsuntos!C17+NºAsuntos!E17)/NºAsuntos!G17),(NºAsuntos!C17+NºAsuntos!E17)/NºAsuntos!G17," - ")</f>
        <v>2.8461538461538463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v>
      </c>
      <c r="X18" s="240">
        <f>IF(ISNUMBER(Datos!Q18),Datos!Q18," - ")</f>
        <v>0</v>
      </c>
      <c r="Y18" s="374">
        <f t="shared" si="9"/>
        <v>36</v>
      </c>
      <c r="Z18" s="375" t="str">
        <f>IF(ISNUMBER(Datos!CC18),Datos!CC18," - ")</f>
        <v xml:space="preserve"> - </v>
      </c>
      <c r="AA18" s="372">
        <f>IF(ISNUMBER(Datos!L18),Datos!L18,"-")</f>
        <v>39</v>
      </c>
      <c r="AB18" s="374">
        <f>IF(ISNUMBER(Datos!R18),Datos!R18," - ")</f>
        <v>1</v>
      </c>
      <c r="AC18" s="374">
        <f t="shared" si="8"/>
        <v>40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3.25</v>
      </c>
      <c r="AN18" s="267">
        <f>IF(ISNUMBER('Resol  Asuntos'!D18/NºAsuntos!G18),'Resol  Asuntos'!D18/NºAsuntos!G18," - ")</f>
        <v>0.30555555555555558</v>
      </c>
      <c r="AO18" s="268">
        <f>IF(ISNUMBER((NºAsuntos!C18+NºAsuntos!E18)/NºAsuntos!G18),(NºAsuntos!C18+NºAsuntos!E18)/NºAsuntos!G18," - ")</f>
        <v>2.0833333333333335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403</v>
      </c>
      <c r="G23" s="1163">
        <f>SUBTOTAL(9,G16:G22)</f>
        <v>435</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348</v>
      </c>
      <c r="X23" s="1164">
        <f t="shared" si="14"/>
        <v>17</v>
      </c>
      <c r="Y23" s="1165">
        <f t="shared" si="14"/>
        <v>365</v>
      </c>
      <c r="Z23" s="1165">
        <f t="shared" si="14"/>
        <v>0</v>
      </c>
      <c r="AA23" s="1165">
        <f t="shared" si="14"/>
        <v>616</v>
      </c>
      <c r="AB23" s="1165">
        <f t="shared" si="14"/>
        <v>65</v>
      </c>
      <c r="AC23" s="1165">
        <f t="shared" si="14"/>
        <v>681</v>
      </c>
      <c r="AD23" s="1165">
        <f t="shared" si="14"/>
        <v>0</v>
      </c>
      <c r="AE23" s="1169">
        <f t="shared" si="14"/>
        <v>0</v>
      </c>
      <c r="AF23" s="1162">
        <f t="shared" si="14"/>
        <v>0</v>
      </c>
      <c r="AG23" s="1170">
        <f t="shared" si="14"/>
        <v>0</v>
      </c>
      <c r="AH23" s="1167">
        <f t="shared" si="14"/>
        <v>0</v>
      </c>
      <c r="AI23" s="1162">
        <f t="shared" si="14"/>
        <v>64</v>
      </c>
      <c r="AJ23" s="1164">
        <f t="shared" si="14"/>
        <v>0</v>
      </c>
      <c r="AK23" s="1167">
        <f t="shared" si="14"/>
        <v>0</v>
      </c>
      <c r="AL23" s="1171">
        <f>IF(ISNUMBER(NºAsuntos!G23/NºAsuntos!E23),NºAsuntos!G23/NºAsuntos!E23," - ")</f>
        <v>0.65909090909090906</v>
      </c>
      <c r="AM23" s="1171">
        <f>IF(ISNUMBER(((NºAsuntos!I23/NºAsuntos!G23)*11)/factor_trimestre),((NºAsuntos!I23/NºAsuntos!G23)*11)/factor_trimestre," - ")</f>
        <v>5.3103448275862073</v>
      </c>
      <c r="AN23" s="1172">
        <f>IF(ISNUMBER('Resol  Asuntos'!D23/NºAsuntos!G23),'Resol  Asuntos'!D23/NºAsuntos!G23," - ")</f>
        <v>0.18390804597701149</v>
      </c>
      <c r="AO23" s="1173">
        <f>IF(ISNUMBER((NºAsuntos!C23+NºAsuntos!E23)/NºAsuntos!G23),(NºAsuntos!C23+NºAsuntos!E23)/NºAsuntos!G23," - ")</f>
        <v>2.7672413793103448</v>
      </c>
      <c r="AP23" s="1174" t="str">
        <f t="shared" si="2"/>
        <v xml:space="preserve"> - </v>
      </c>
      <c r="AQ23" s="1174">
        <f>IF(ISNUMBER((H23-W23+K23)/(F23)),(H23-W23+K23)/(F23)," - ")</f>
        <v>-0.8635235732009926</v>
      </c>
      <c r="AR23" s="1175">
        <f>IF(ISNUMBER((Datos!P23-Datos!Q23)/(Datos!R23-Datos!P23+Datos!Q23)),(Datos!P23-Datos!Q23)/(Datos!R23-Datos!P23+Datos!Q23)," - ")</f>
        <v>-4.4117647058823532E-2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413</v>
      </c>
      <c r="G31" s="1118">
        <f t="shared" si="20"/>
        <v>445</v>
      </c>
      <c r="H31" s="1117">
        <f t="shared" si="20"/>
        <v>0</v>
      </c>
      <c r="I31" s="1119">
        <f t="shared" si="20"/>
        <v>0</v>
      </c>
      <c r="J31" s="1119">
        <f t="shared" si="20"/>
        <v>0</v>
      </c>
      <c r="K31" s="1180">
        <f t="shared" si="20"/>
        <v>0</v>
      </c>
      <c r="L31" s="1119">
        <f t="shared" si="20"/>
        <v>92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352</v>
      </c>
      <c r="X31" s="1118">
        <f t="shared" si="21"/>
        <v>53</v>
      </c>
      <c r="Y31" s="1125">
        <f t="shared" si="21"/>
        <v>405</v>
      </c>
      <c r="Z31" s="1125">
        <f t="shared" si="21"/>
        <v>0</v>
      </c>
      <c r="AA31" s="1125">
        <f t="shared" si="21"/>
        <v>624</v>
      </c>
      <c r="AB31" s="1125">
        <f t="shared" si="21"/>
        <v>1449</v>
      </c>
      <c r="AC31" s="1125">
        <f t="shared" si="21"/>
        <v>700</v>
      </c>
      <c r="AD31" s="1125">
        <f t="shared" si="21"/>
        <v>0</v>
      </c>
      <c r="AE31" s="1127">
        <f t="shared" si="21"/>
        <v>0</v>
      </c>
      <c r="AF31" s="1128">
        <f t="shared" si="21"/>
        <v>0</v>
      </c>
      <c r="AG31" s="1129">
        <f t="shared" si="21"/>
        <v>0</v>
      </c>
      <c r="AH31" s="1127">
        <f t="shared" si="21"/>
        <v>0</v>
      </c>
      <c r="AI31" s="1117">
        <f t="shared" si="21"/>
        <v>178</v>
      </c>
      <c r="AJ31" s="1117">
        <f t="shared" si="21"/>
        <v>0</v>
      </c>
      <c r="AK31" s="1127">
        <f t="shared" si="21"/>
        <v>0</v>
      </c>
      <c r="AL31" s="1183">
        <f>IF(ISNUMBER(NºAsuntos!G31/NºAsuntos!E31),NºAsuntos!G31/NºAsuntos!E31," - ")</f>
        <v>0.75623582766439912</v>
      </c>
      <c r="AM31" s="1184">
        <f>IF(ISNUMBER(((NºAsuntos!I31/NºAsuntos!G31)*11)/factor_trimestre),((NºAsuntos!I31/NºAsuntos!G31)*11)/factor_trimestre," - ")</f>
        <v>6.6836581709145442</v>
      </c>
      <c r="AN31" s="1184">
        <f>IF(ISNUMBER('Resol  Asuntos'!D31/NºAsuntos!G31),'Resol  Asuntos'!D31/NºAsuntos!G31," - ")</f>
        <v>0.26686656671664166</v>
      </c>
      <c r="AO31" s="1185">
        <f>IF(ISNUMBER((NºAsuntos!C31+NºAsuntos!E31)/NºAsuntos!G31),(NºAsuntos!C31+NºAsuntos!E31)/NºAsuntos!G31," - ")</f>
        <v>3.2263868065967016</v>
      </c>
      <c r="AP31" s="1186" t="str">
        <f t="shared" si="2"/>
        <v xml:space="preserve"> - </v>
      </c>
      <c r="AQ31" s="1187">
        <f>IF(OR(ISNUMBER(FIND("01",Criterios!A8,1)),ISNUMBER(FIND("02",Criterios!A8,1)),ISNUMBER(FIND("03",Criterios!A8,1)),ISNUMBER(FIND("04",Criterios!A8,1))),(I31-W31+K31)/(F31-K31),(H31-W31+K31)/(F31-K31))</f>
        <v>-0.85230024213075062</v>
      </c>
      <c r="AR31" s="1188">
        <f>IF(ISNUMBER((Datos!P31-Datos!Q31)/(Datos!R31-Datos!P31+Datos!Q31)),(Datos!P31-Datos!Q31)/(Datos!R31-Datos!P31+Datos!Q31)," - ")</f>
        <v>2.7659574468085105E-2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205.57496605050594</v>
      </c>
      <c r="G33" s="277">
        <f>IF(ISNUMBER(STDEV(G8:G30)),STDEV(G8:G30),"-")</f>
        <v>199.5665541211992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157.57205456854456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48.565125641466516</v>
      </c>
      <c r="AJ33" s="276">
        <f t="shared" si="25"/>
        <v>0</v>
      </c>
      <c r="AK33" s="278">
        <f t="shared" si="25"/>
        <v>0</v>
      </c>
      <c r="AL33" s="273">
        <f t="shared" si="25"/>
        <v>0.5070076521114526</v>
      </c>
      <c r="AM33" s="274">
        <f t="shared" si="25"/>
        <v>1.8890768892779648</v>
      </c>
      <c r="AN33" s="274">
        <f t="shared" si="25"/>
        <v>0.21071652053075826</v>
      </c>
      <c r="AO33" s="275">
        <f t="shared" si="25"/>
        <v>0.63011089250832208</v>
      </c>
      <c r="AP33" s="317" t="str">
        <f t="shared" si="25"/>
        <v>-</v>
      </c>
      <c r="AQ33" s="318">
        <f t="shared" si="25"/>
        <v>0.32776066185024094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PRK86FIlKR5dqKYOzRfxXd3gvH3msoM2M8nZ0IZTmL1IdTsTaGc1So9CqsyZCknAUDXL4Q/bo7sfhEm3TUzjw==" saltValue="82boGCntK01vxkciX4TJ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MANZANARES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-0.5</v>
      </c>
      <c r="F10" s="393">
        <f>IF(ISNUMBER((Datos!K10-Datos!U10)/Datos!U10),(Datos!K10-Datos!U10)/Datos!U10," - ")</f>
        <v>0</v>
      </c>
      <c r="G10" s="394">
        <f>IF(ISNUMBER((Datos!L10-Datos!V10)/Datos!V10),(Datos!L10-Datos!V10)/Datos!V10," - ")</f>
        <v>0.33333333333333331</v>
      </c>
      <c r="H10" s="244">
        <f>IF(ISNUMBER((Datos!M10-Datos!W10)/Datos!W10),(Datos!M10-Datos!W10)/Datos!W10," - ")</f>
        <v>0</v>
      </c>
      <c r="I10" s="395">
        <f>IF(ISNUMBER((Tasas!C10-Datos!BE10)/Datos!BE10),(Tasas!C10-Datos!BE10)/Datos!BE10," - ")</f>
        <v>0.33333333333333331</v>
      </c>
      <c r="J10" s="394">
        <f>IF(ISNUMBER((Tasas!D10-Datos!BF10)/Datos!BF10),(Tasas!D10-Datos!BF10)/Datos!BF10," - ")</f>
        <v>0</v>
      </c>
      <c r="K10" s="396">
        <f>IF(ISNUMBER((Tasas!E10-Datos!BG10)/Datos!BG10),(Tasas!E10-Datos!BG10)/Datos!BG10," - ")</f>
        <v>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0.27586206896551724</v>
      </c>
      <c r="I12" s="395">
        <f>IF(ISNUMBER((Tasas!C12-Datos!BE12)/Datos!BE12),(Tasas!C12-Datos!BE12)/Datos!BE12," - ")</f>
        <v>7.1826853956596895E-2</v>
      </c>
      <c r="J12" s="394">
        <f>IF(ISNUMBER((Tasas!D12-Datos!BF12)/Datos!BF12),(Tasas!D12-Datos!BF12)/Datos!BF12," - ")</f>
        <v>0.19959473150962517</v>
      </c>
      <c r="K12" s="396">
        <f>IF(ISNUMBER((Tasas!E12-Datos!BG12)/Datos!BG12),(Tasas!E12-Datos!BG12)/Datos!BG12," - ")</f>
        <v>5.1611732350518615E-2</v>
      </c>
      <c r="M12" t="e">
        <f>IF(Monitorios="SI",Datos!CE12,0)</f>
        <v>#REF!</v>
      </c>
      <c r="N12" t="e">
        <f>IF(Monitorios="SI",Datos!CF12,0)</f>
        <v>#REF!</v>
      </c>
      <c r="O12" t="e">
        <f>IF(Monitorios="SI",Datos!CG12,0)</f>
        <v>#REF!</v>
      </c>
      <c r="P12" t="e">
        <f>IF(Monitorios="SI",Datos!CH12,0)</f>
        <v>#REF!</v>
      </c>
      <c r="Q12">
        <f>IF(J_V="SI",0,Datos!AG12)</f>
        <v>20</v>
      </c>
      <c r="R12">
        <f>IF(J_V="SI",0,Datos!AH12)</f>
        <v>20</v>
      </c>
      <c r="S12">
        <f>IF(J_V="SI",0,Datos!AI12)</f>
        <v>27</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0.26666666666666666</v>
      </c>
      <c r="I14" s="402">
        <f>IF(ISNUMBER((Tasas!C14-Datos!BE14)/Datos!BE14),(Tasas!C14-Datos!BE14)/Datos!BE14," - ")</f>
        <v>7.3677234066055391E-2</v>
      </c>
      <c r="J14" s="400">
        <f>IF(ISNUMBER((Tasas!D14-Datos!BF14)/Datos!BF14),(Tasas!D14-Datos!BF14)/Datos!BF14," - ")</f>
        <v>0.19367869954432337</v>
      </c>
      <c r="K14" s="403">
        <f>IF(ISNUMBER((Tasas!E14-Datos!BG14)/Datos!BG14),(Tasas!E14-Datos!BG14)/Datos!BG14," - ")</f>
        <v>5.2865181897439918E-2</v>
      </c>
      <c r="M14" t="e">
        <f>IF(Monitorios="SI",Datos!CE14,0)</f>
        <v>#REF!</v>
      </c>
      <c r="N14" t="e">
        <f>IF(Monitorios="SI",Datos!CF14,0)</f>
        <v>#REF!</v>
      </c>
      <c r="O14" t="e">
        <f>IF(Monitorios="SI",Datos!CG14,0)</f>
        <v>#REF!</v>
      </c>
      <c r="P14" t="e">
        <f>IF(Monitorios="SI",Datos!CH14,0)</f>
        <v>#REF!</v>
      </c>
      <c r="Q14">
        <f>IF(J_V="SI",0,Datos!AG14)</f>
        <v>20</v>
      </c>
      <c r="R14">
        <f>IF(J_V="SI",0,Datos!AH14)</f>
        <v>20</v>
      </c>
      <c r="S14">
        <f>IF(J_V="SI",0,Datos!AI14)</f>
        <v>27</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-0.21637426900584794</v>
      </c>
      <c r="E17" s="393">
        <f>IF(ISNUMBER(
   IF(D_I="SI",(Datos!J17-Datos!T17)/Datos!T17,(Datos!J17+Datos!AD17-(Datos!T17+Datos!AL17))/(Datos!T17+Datos!AL17))
     ),IF(D_I="SI",(Datos!J17-Datos!T17)/Datos!T17,(Datos!J17+Datos!AD17-(Datos!T17+Datos!AL17))/(Datos!T17+Datos!AL17))," - ")</f>
        <v>0.35754189944134079</v>
      </c>
      <c r="F17" s="393">
        <f>IF(ISNUMBER(
   IF(D_I="SI",(Datos!K17-Datos!U17)/Datos!U17,(Datos!K17+Datos!AE17-(Datos!U17+Datos!AM17))/(Datos!U17+Datos!AM17))
     ),IF(D_I="SI",(Datos!K17-Datos!U17)/Datos!U17,(Datos!K17+Datos!AE17-(Datos!U17+Datos!AM17))/(Datos!U17+Datos!AM17))," - ")</f>
        <v>-0.19379844961240311</v>
      </c>
      <c r="G17" s="394">
        <f>IF(ISNUMBER(
   IF(D_I="SI",(Datos!L17-Datos!V17)/Datos!V17,(Datos!L17+Datos!AF17-(Datos!V17+Datos!AN17))/(Datos!V17+Datos!AN17))
     ),IF(D_I="SI",(Datos!L17-Datos!V17)/Datos!V17,(Datos!L17+Datos!AF17-(Datos!V17+Datos!AN17))/(Datos!V17+Datos!AN17))," - ")</f>
        <v>0.18237704918032788</v>
      </c>
      <c r="H17" s="244">
        <f>IF(ISNUMBER((Datos!M17-Datos!W17)/Datos!W17),(Datos!M17-Datos!W17)/Datos!W17," - ")</f>
        <v>1.9230769230769232E-2</v>
      </c>
      <c r="I17" s="395">
        <f>IF(ISNUMBER((Tasas!C17-Datos!BE17)/Datos!BE17),(Tasas!C17-Datos!BE17)/Datos!BE17," - ")</f>
        <v>0.4666023013871376</v>
      </c>
      <c r="J17" s="394">
        <f>IF(ISNUMBER((Tasas!D17-Datos!BF17)/Datos!BF17),(Tasas!D17-Datos!BF17)/Datos!BF17," - ")</f>
        <v>0.26423816568047337</v>
      </c>
      <c r="K17" s="396">
        <f>IF(ISNUMBER((Tasas!E17-Datos!BG17)/Datos!BG17),(Tasas!E17-Datos!BG17)/Datos!BG17," - ")</f>
        <v>0.26459418881921765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0.17857142857142858</v>
      </c>
      <c r="E18" s="393">
        <f>IF(ISNUMBER(
   IF(D_I="SI",(Datos!J18-Datos!T18)/Datos!T18,(Datos!J18+Datos!AD18-(Datos!T18+Datos!AL18))/(Datos!T18+Datos!AL18))
     ),IF(D_I="SI",(Datos!J18-Datos!T18)/Datos!T18,(Datos!J18+Datos!AD18-(Datos!T18+Datos!AL18))/(Datos!T18+Datos!AL18))," - ")</f>
        <v>-8.6956521739130432E-2</v>
      </c>
      <c r="F18" s="393">
        <f>IF(ISNUMBER(
   IF(D_I="SI",(Datos!K18-Datos!U18)/Datos!U18,(Datos!K18+Datos!AE18-(Datos!U18+Datos!AM18))/(Datos!U18+Datos!AM18))
     ),IF(D_I="SI",(Datos!K18-Datos!U18)/Datos!U18,(Datos!K18+Datos!AE18-(Datos!U18+Datos!AM18))/(Datos!U18+Datos!AM18))," - ")</f>
        <v>-0.26530612244897961</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0.5714285714285714</v>
      </c>
      <c r="I18" s="395">
        <f>IF(ISNUMBER((Tasas!C18-Datos!BE18)/Datos!BE18),(Tasas!C18-Datos!BE18)/Datos!BE18," - ")</f>
        <v>1.0416666666666663</v>
      </c>
      <c r="J18" s="394">
        <f>IF(ISNUMBER((Tasas!D18-Datos!BF18)/Datos!BF18),(Tasas!D18-Datos!BF18)/Datos!BF18," - ")</f>
        <v>1.1388888888888893</v>
      </c>
      <c r="K18" s="396">
        <f>IF(ISNUMBER((Tasas!E18-Datos!BG18)/Datos!BG18),(Tasas!E18-Datos!BG18)/Datos!BG18," - ")</f>
        <v>0.37950450450450468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-0.19593345656192238</v>
      </c>
      <c r="E23" s="399">
        <f>IF(ISNUMBER(
   IF(D_I="SI",(Datos!J23-Datos!T23)/Datos!T23,(Datos!J23+Datos!AD23-(Datos!T23+Datos!AL23))/(Datos!T23+Datos!AL23))
     ),IF(D_I="SI",(Datos!J23-Datos!T23)/Datos!T23,(Datos!J23+Datos!AD23-(Datos!T23+Datos!AL23))/(Datos!T23+Datos!AL23))," - ")</f>
        <v>0.30693069306930693</v>
      </c>
      <c r="F23" s="399">
        <f>IF(ISNUMBER(
   IF(D_I="SI",(Datos!K23-Datos!U23)/Datos!U23,(Datos!K23+Datos!AE23-(Datos!U23+Datos!AM23))/(Datos!U23+Datos!AM23))
     ),IF(D_I="SI",(Datos!K23-Datos!U23)/Datos!U23,(Datos!K23+Datos!AE23-(Datos!U23+Datos!AM23))/(Datos!U23+Datos!AM23))," - ")</f>
        <v>-0.20183486238532111</v>
      </c>
      <c r="G23" s="400">
        <f>IF(ISNUMBER(
   IF(D_I="SI",(Datos!L23-Datos!V23)/Datos!V23,(Datos!L23+Datos!AF23-(Datos!V23+Datos!AN23))/(Datos!V23+Datos!AN23))
     ),IF(D_I="SI",(Datos!L23-Datos!V23)/Datos!V23,(Datos!L23+Datos!AF23-(Datos!V23+Datos!AN23))/(Datos!V23+Datos!AN23))," - ")</f>
        <v>0.19844357976653695</v>
      </c>
      <c r="H23" s="401">
        <f>IF(ISNUMBER((Datos!M23-Datos!W23)/Datos!W23),(Datos!M23-Datos!W23)/Datos!W23," - ")</f>
        <v>8.4745762711864403E-2</v>
      </c>
      <c r="I23" s="402">
        <f>IF(ISNUMBER((Tasas!C23-Datos!BE23)/Datos!BE23),(Tasas!C23-Datos!BE23)/Datos!BE23," - ")</f>
        <v>0.50149827809830505</v>
      </c>
      <c r="J23" s="400">
        <f>IF(ISNUMBER((Tasas!D23-Datos!BF23)/Datos!BF23),(Tasas!D23-Datos!BF23)/Datos!BF23," - ")</f>
        <v>0.35904928891486465</v>
      </c>
      <c r="K23" s="403">
        <f>IF(ISNUMBER((Tasas!E23-Datos!BG23)/Datos!BG23),(Tasas!E23-Datos!BG23)/Datos!BG23," - ")</f>
        <v>0.27673782156540783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-7.7034883720930231E-2</v>
      </c>
      <c r="E31" s="409">
        <f>IF(ISNUMBER(
   IF(J_V="SI",(Datos!J31-Datos!T31)/Datos!T31,(Datos!J31+Datos!Z31-(Datos!T31+Datos!AH31))/(Datos!T31+Datos!AH31))
     ),IF(J_V="SI",(Datos!J31-Datos!T31)/Datos!T31,(Datos!J31+Datos!Z31-(Datos!T31+Datos!AH31))/(Datos!T31+Datos!AH31))," - ")</f>
        <v>0.23184357541899442</v>
      </c>
      <c r="F31" s="409">
        <f>IF(ISNUMBER(
   IF(J_V="SI",(Datos!K31-Datos!U31)/Datos!U31,(Datos!K31+Datos!AA31-(Datos!U31+Datos!AI31))/(Datos!U31+Datos!AI31))
     ),IF(J_V="SI",(Datos!K31-Datos!U31)/Datos!U31,(Datos!K31+Datos!AA31-(Datos!U31+Datos!AI31))/(Datos!U31+Datos!AI31))," - ")</f>
        <v>-0.12236842105263158</v>
      </c>
      <c r="G31" s="410">
        <f>IF(ISNUMBER(
   IF(J_V="SI",(Datos!L31-Datos!V31)/Datos!V31,(Datos!L31+Datos!AB31-(Datos!V31+Datos!AJ31))/(Datos!V31+Datos!AJ31))
     ),IF(J_V="SI",(Datos!L31-Datos!V31)/Datos!V31,(Datos!L31+Datos!AB31-(Datos!V31+Datos!AJ31))/(Datos!V31+Datos!AJ31))," - ")</f>
        <v>0.11144353029169783</v>
      </c>
      <c r="H31" s="411">
        <f>IF(ISNUMBER((Datos!M31-Datos!W31)/Datos!W31),(Datos!M31-Datos!W31)/Datos!W31," - ")</f>
        <v>0.19463087248322147</v>
      </c>
      <c r="I31" s="408">
        <f>IF(ISNUMBER((Tasas!C31-Datos!BE31)/Datos!BE31),(Tasas!C31-Datos!BE31)/Datos!BE31," - ")</f>
        <v>0.26641241832337387</v>
      </c>
      <c r="J31" s="409">
        <f>IF(ISNUMBER((Tasas!D31-Datos!BF31)/Datos!BF31),(Tasas!D31-Datos!BF31)/Datos!BF31," - ")</f>
        <v>0.30011917118363884</v>
      </c>
      <c r="K31" s="410">
        <f>IF(ISNUMBER((Tasas!E31-Datos!BG31)/Datos!BG31),(Tasas!E31-Datos!BG31)/Datos!BG31," - ")</f>
        <v>0.17210992973876355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0.41419913366595457</v>
      </c>
      <c r="E33" s="303">
        <f t="shared" si="1"/>
        <v>0.3992083464266627</v>
      </c>
      <c r="F33" s="303">
        <f t="shared" si="1"/>
        <v>0.11470579083537069</v>
      </c>
      <c r="G33" s="304">
        <f t="shared" si="1"/>
        <v>0.14743347934940762</v>
      </c>
      <c r="H33" s="310">
        <f t="shared" si="1"/>
        <v>0.21636364383502388</v>
      </c>
      <c r="I33" s="302">
        <f t="shared" si="1"/>
        <v>0.35882977005704919</v>
      </c>
      <c r="J33" s="303">
        <f t="shared" si="1"/>
        <v>0.39970696976272191</v>
      </c>
      <c r="K33" s="304">
        <f t="shared" si="1"/>
        <v>0.13102969690127453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hBPq2/mjjdbZ8YRXUI47L6+jm79O6HYWltdkQDkCaqH7WoU6yBOhpEyVO145FSJk73gdiv2QiB6j7CiXZueUQ==" saltValue="c3ecGr2sNsrvSXw4+glv9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